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120" windowHeight="8010" tabRatio="805" activeTab="6"/>
  </bookViews>
  <sheets>
    <sheet name="F1" sheetId="15" r:id="rId1"/>
    <sheet name="F4" sheetId="16" r:id="rId2"/>
    <sheet name="Bilan financier" sheetId="17" r:id="rId3"/>
    <sheet name="Ville LORIENT" sheetId="1" r:id="rId4"/>
    <sheet name="LOCMIQUELIC" sheetId="4" r:id="rId5"/>
    <sheet name="LANESTER" sheetId="5" r:id="rId6"/>
    <sheet name="LANVEUR" sheetId="6" r:id="rId7"/>
    <sheet name="BUBRY" sheetId="7" r:id="rId8"/>
    <sheet name="PLOUAY (1)" sheetId="8" r:id="rId9"/>
    <sheet name="PLOUAY (2)" sheetId="9" r:id="rId10"/>
    <sheet name="PLOEMEUR (1)" sheetId="10" r:id="rId11"/>
    <sheet name="PLOEMEUR (2)" sheetId="11" r:id="rId12"/>
    <sheet name="RIEC" sheetId="12" r:id="rId13"/>
    <sheet name="ARZANO" sheetId="13" r:id="rId14"/>
    <sheet name="GLOBAL" sheetId="14" r:id="rId15"/>
    <sheet name="Feuil2" sheetId="2" r:id="rId16"/>
    <sheet name="Feuil3" sheetId="3" r:id="rId17"/>
  </sheets>
  <externalReferences>
    <externalReference r:id="rId18"/>
    <externalReference r:id="rId19"/>
    <externalReference r:id="rId20"/>
    <externalReference r:id="rId21"/>
  </externalReferences>
  <definedNames>
    <definedName name="A">#REF!</definedName>
    <definedName name="AugmTarifs">'[1]Scenario Manager'!$N$8</definedName>
    <definedName name="calc_choice_sfe">[2]SFE!$D$149</definedName>
    <definedName name="CB_Amount">[2]NTF!$D$138</definedName>
    <definedName name="CellRefSens">'[2]Scenario Manager'!$B$9</definedName>
    <definedName name="Check_SFE1">[2]SFE!$D$182</definedName>
    <definedName name="Check_SFE1_bus">[2]SFE!$D$181</definedName>
    <definedName name="Check_SFE2">[2]SFE!$D$185</definedName>
    <definedName name="Check_SFE2_bus">[2]SFE!$D$184</definedName>
    <definedName name="Check_Vers_Ren">[2]Capex!$D$363</definedName>
    <definedName name="ConcessionEndDate" localSheetId="0">#REF!</definedName>
    <definedName name="ConcessionEndDate">#REF!</definedName>
    <definedName name="ConstEndDate">[2]Hyp!$H$34</definedName>
    <definedName name="Construction_sensitivity">[2]Hyp!$O$463</definedName>
    <definedName name="ConstStartDate" localSheetId="0">#REF!</definedName>
    <definedName name="ConstStartDate">#REF!</definedName>
    <definedName name="ContractDate">#REF!</definedName>
    <definedName name="Deltaconv">[2]Hyp!$Q$9</definedName>
    <definedName name="DepotGER" localSheetId="0">[2]NTF!#REF!</definedName>
    <definedName name="DepotGER">[2]NTF!#REF!</definedName>
    <definedName name="DepotGERActif" localSheetId="0">[2]NTF!#REF!</definedName>
    <definedName name="DepotGERActif">[2]NTF!#REF!</definedName>
    <definedName name="DONNEES" localSheetId="0">[2]NTF!#REF!</definedName>
    <definedName name="DONNEES">[2]NTF!#REF!</definedName>
    <definedName name="Elasticité" localSheetId="0">#REF!</definedName>
    <definedName name="Elasticité">#REF!</definedName>
    <definedName name="Emplois">[2]NTF!$D$42</definedName>
    <definedName name="Equity_part">[2]Hyp!$H$292</definedName>
    <definedName name="Equitybridge_dispo">[2]Hyp!$H$296</definedName>
    <definedName name="Estimation_SFE2_tri">[2]SFE!$D$94</definedName>
    <definedName name="FinClose">[2]Hyp!$H$23</definedName>
    <definedName name="FinClose_EB">[2]Hyp!$H$22</definedName>
    <definedName name="IndiceConstruction" localSheetId="0">#REF!</definedName>
    <definedName name="IndiceConstruction">#REF!</definedName>
    <definedName name="IndiceExploitation">[2]Capex!$F$45:$DO$45</definedName>
    <definedName name="IndiceExploitationAnnuel">[2]Flag!$F$117:$AY$117</definedName>
    <definedName name="IndiceInflation" localSheetId="0">#REF!</definedName>
    <definedName name="IndiceInflation">#REF!</definedName>
    <definedName name="IndiceInflationAnnuel">[1]Flag!$F$102:$AY$102</definedName>
    <definedName name="IndiceRecettesAnnuel">[2]Recettes!$F$20:$AY$20</definedName>
    <definedName name="IndiceRenouvellement">[2]Capex!$F$42:$DO$42</definedName>
    <definedName name="IndiceSFE1">[2]SFE!$F$68:$AY$68</definedName>
    <definedName name="IntRateSensitivity">[2]Hyp!$O$471</definedName>
    <definedName name="Langue" localSheetId="0">#REF!</definedName>
    <definedName name="Langue">#REF!</definedName>
    <definedName name="LLCR_Mezzanine_Copy">[2]CF!$F$263:$AY$263</definedName>
    <definedName name="LLCR_Mezzanine_Paste">[2]CF!$F$264:$AY$264</definedName>
    <definedName name="LockupPicCopy">[2]SFE!$F$50:$AX$50</definedName>
    <definedName name="LockupPicPaste">[2]SFE!$F$51:$AX$51</definedName>
    <definedName name="MezzanineAmount_Copy">[2]Dette!$D$650</definedName>
    <definedName name="MezzanineAmount_Paste">[2]Dette!$D$651</definedName>
    <definedName name="MoisMeSTram">[2]Amort!$D$16</definedName>
    <definedName name="NombreScen">'[2]Scenario Manager'!$A$8</definedName>
    <definedName name="NTF_Bus_paste">[2]NTF!$F$104:$DR$104</definedName>
    <definedName name="operation_flag">[2]Flag!$F$49:$DC$49</definedName>
    <definedName name="OpexSensitivity">[2]Hyp!$O$466</definedName>
    <definedName name="OpStartDate" localSheetId="0">#REF!</definedName>
    <definedName name="OpStartDate">#REF!</definedName>
    <definedName name="OpStartDateBus" localSheetId="0">#REF!</definedName>
    <definedName name="OpStartDateBus">#REF!</definedName>
    <definedName name="Pas_SFE2" localSheetId="0">[2]SFE!#REF!</definedName>
    <definedName name="Pas_SFE2">[2]SFE!#REF!</definedName>
    <definedName name="PenaltySFE1Sensitivity">[2]Hyp!$O$468</definedName>
    <definedName name="period">[2]Hyp!$H$10</definedName>
    <definedName name="Profil_flag" localSheetId="0">#REF!</definedName>
    <definedName name="Profil_flag">#REF!</definedName>
    <definedName name="Renew_sensi">[2]Hyp!$O$465</definedName>
    <definedName name="RevenueSensitivity">[2]Hyp!$O$467</definedName>
    <definedName name="SFE1_lissee_Check">[2]SFE!$D$183</definedName>
    <definedName name="SFE1_lissee_Switch">[2]SFE!$D$18</definedName>
    <definedName name="SFE1_Paste">[2]SFE!$D$49</definedName>
    <definedName name="SFE2_Paste">[2]SFE!$F$139:$AY$139</definedName>
    <definedName name="SFE2_Pourcentage">[2]SFE!$D$151</definedName>
    <definedName name="SFE2_tri_Switch" localSheetId="0">[2]SFE!#REF!</definedName>
    <definedName name="SFE2_tri_Switch">[2]SFE!#REF!</definedName>
    <definedName name="Signe" localSheetId="0">[2]SFE!#REF!</definedName>
    <definedName name="Signe">[2]SFE!#REF!</definedName>
    <definedName name="solver_adj" localSheetId="1" hidden="1">'F4'!#REF!</definedName>
    <definedName name="solver_cvg" localSheetId="1" hidden="1">0.0001</definedName>
    <definedName name="solver_drv" localSheetId="1" hidden="1">2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1" localSheetId="1" hidden="1">'F4'!#REF!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'F4'!$C$254</definedName>
    <definedName name="solver_pre" localSheetId="1" hidden="1">0.000001</definedName>
    <definedName name="solver_rbv" localSheetId="1" hidden="1">2</definedName>
    <definedName name="solver_rel1" localSheetId="1" hidden="1">2</definedName>
    <definedName name="solver_rhs1" localSheetId="1" hidden="1">'F4'!$F$204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1630.78</definedName>
    <definedName name="solver_ver" localSheetId="1" hidden="1">3</definedName>
    <definedName name="SubBridge_Paste">[2]NTF!$D$91</definedName>
    <definedName name="switch_revision">[2]Hyp!$O$475</definedName>
    <definedName name="SwitchCC">[2]Amort!$D$1030</definedName>
    <definedName name="TargetIRR" localSheetId="0">[2]SFE!#REF!</definedName>
    <definedName name="TargetIRR">[2]SFE!#REF!</definedName>
    <definedName name="Test_IS" localSheetId="0">[2]Taxes!#REF!</definedName>
    <definedName name="Test_IS">[2]Taxes!#REF!</definedName>
    <definedName name="Test_Test">[2]NTF!$C$43</definedName>
    <definedName name="TMP">[2]Amort!$D$1022</definedName>
    <definedName name="TMP_paste">[2]Amort!$D$1023</definedName>
    <definedName name="Tot_IS_copy" localSheetId="0">[2]Taxes!#REF!</definedName>
    <definedName name="Tot_IS_copy">[2]Taxes!#REF!</definedName>
    <definedName name="Tot_IS_paste" localSheetId="0">[2]Taxes!#REF!</definedName>
    <definedName name="Tot_IS_paste">[2]Taxes!#REF!</definedName>
    <definedName name="TrA_Amount">[1]NTF!$D$63</definedName>
    <definedName name="TrA_Max_Amount">[2]SFE!$D$219</definedName>
    <definedName name="Trafic_Actif">[2]Hyp!$B$490</definedName>
    <definedName name="TrB_Amount">[2]NTF!$D$66</definedName>
    <definedName name="VAT_rent">[2]Hyp!$O$419</definedName>
    <definedName name="x" localSheetId="0">#REF!</definedName>
    <definedName name="x">#REF!</definedName>
    <definedName name="_xlnm.Print_Area" localSheetId="2">'Bilan financier'!$A$1:$G$118</definedName>
    <definedName name="_xlnm.Print_Area" localSheetId="1">'F4'!$A$3:$G$257</definedName>
  </definedNames>
  <calcPr calcId="145621" concurrentCalc="0"/>
</workbook>
</file>

<file path=xl/calcChain.xml><?xml version="1.0" encoding="utf-8"?>
<calcChain xmlns="http://schemas.openxmlformats.org/spreadsheetml/2006/main">
  <c r="A140" i="17" l="1"/>
  <c r="B140" i="17"/>
  <c r="C140" i="17"/>
  <c r="D140" i="17"/>
  <c r="E140" i="17"/>
  <c r="A133" i="17"/>
  <c r="B133" i="17"/>
  <c r="C133" i="17"/>
  <c r="D133" i="17"/>
  <c r="E133" i="17"/>
  <c r="A153" i="17"/>
  <c r="B153" i="17"/>
  <c r="C153" i="17"/>
  <c r="D153" i="17"/>
  <c r="E153" i="17"/>
  <c r="D39" i="17"/>
  <c r="C39" i="17"/>
  <c r="C14" i="17"/>
  <c r="D40" i="6"/>
  <c r="E40" i="6"/>
  <c r="C40" i="6"/>
  <c r="D27" i="6"/>
  <c r="E27" i="6"/>
  <c r="F27" i="6"/>
  <c r="G27" i="6"/>
  <c r="C27" i="6"/>
  <c r="G31" i="6"/>
  <c r="G30" i="6"/>
  <c r="N49" i="6"/>
  <c r="N62" i="6"/>
  <c r="N64" i="6"/>
  <c r="O49" i="6"/>
  <c r="O62" i="6"/>
  <c r="O64" i="6"/>
  <c r="P49" i="6"/>
  <c r="P62" i="6"/>
  <c r="P64" i="6"/>
  <c r="Q64" i="6"/>
  <c r="N65" i="6"/>
  <c r="N66" i="6"/>
  <c r="O65" i="6"/>
  <c r="O66" i="6"/>
  <c r="P65" i="6"/>
  <c r="P66" i="6"/>
  <c r="Q65" i="6"/>
  <c r="Q66" i="6"/>
  <c r="R65" i="6"/>
  <c r="P88" i="6"/>
  <c r="P92" i="6"/>
  <c r="P91" i="6"/>
  <c r="P90" i="6"/>
  <c r="Q88" i="6"/>
  <c r="Q92" i="6"/>
  <c r="Q91" i="6"/>
  <c r="Q90" i="6"/>
  <c r="R88" i="6"/>
  <c r="R91" i="6"/>
  <c r="R98" i="6"/>
  <c r="G29" i="6"/>
  <c r="G24" i="6"/>
  <c r="F31" i="6"/>
  <c r="F30" i="6"/>
  <c r="Q98" i="6"/>
  <c r="F29" i="6"/>
  <c r="AH92" i="6"/>
  <c r="AH99" i="6"/>
  <c r="AI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N44" i="6"/>
  <c r="L56" i="6"/>
  <c r="L49" i="6"/>
  <c r="M49" i="6"/>
  <c r="M58" i="6"/>
  <c r="L46" i="6"/>
  <c r="N42" i="6"/>
  <c r="N75" i="6"/>
  <c r="O99" i="6"/>
  <c r="N99" i="6"/>
  <c r="O97" i="6"/>
  <c r="N97" i="6"/>
  <c r="O96" i="6"/>
  <c r="N96" i="6"/>
  <c r="O95" i="6"/>
  <c r="N95" i="6"/>
  <c r="AI99" i="6"/>
  <c r="S85" i="6"/>
  <c r="R85" i="6"/>
  <c r="Q85" i="6"/>
  <c r="P85" i="6"/>
  <c r="J83" i="6"/>
  <c r="J89" i="6"/>
  <c r="AG80" i="6"/>
  <c r="AF80" i="6"/>
  <c r="AE80" i="6"/>
  <c r="AE99" i="6"/>
  <c r="AD80" i="6"/>
  <c r="AC80" i="6"/>
  <c r="AB80" i="6"/>
  <c r="AA80" i="6"/>
  <c r="AA99" i="6"/>
  <c r="Z80" i="6"/>
  <c r="Y80" i="6"/>
  <c r="X80" i="6"/>
  <c r="W80" i="6"/>
  <c r="W99" i="6"/>
  <c r="V80" i="6"/>
  <c r="U80" i="6"/>
  <c r="T80" i="6"/>
  <c r="S80" i="6"/>
  <c r="S99" i="6"/>
  <c r="R80" i="6"/>
  <c r="Q80" i="6"/>
  <c r="P80" i="6"/>
  <c r="P79" i="6"/>
  <c r="P78" i="6"/>
  <c r="O79" i="6"/>
  <c r="O98" i="6"/>
  <c r="N79" i="6"/>
  <c r="N98" i="6"/>
  <c r="P77" i="6"/>
  <c r="T46" i="6"/>
  <c r="S46" i="6"/>
  <c r="P46" i="6"/>
  <c r="P61" i="6"/>
  <c r="O42" i="6"/>
  <c r="O75" i="6"/>
  <c r="N35" i="6"/>
  <c r="O35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K23" i="6"/>
  <c r="K24" i="6"/>
  <c r="K27" i="6"/>
  <c r="K15" i="6"/>
  <c r="K18" i="6"/>
  <c r="K20" i="6"/>
  <c r="K12" i="6"/>
  <c r="O4" i="6"/>
  <c r="P42" i="6"/>
  <c r="P75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D192" i="15"/>
  <c r="E192" i="15"/>
  <c r="C192" i="15"/>
  <c r="D258" i="15"/>
  <c r="E258" i="15"/>
  <c r="C258" i="15"/>
  <c r="D251" i="15"/>
  <c r="E251" i="15"/>
  <c r="D252" i="15"/>
  <c r="E252" i="15"/>
  <c r="D253" i="15"/>
  <c r="E253" i="15"/>
  <c r="D254" i="15"/>
  <c r="E254" i="15"/>
  <c r="D255" i="15"/>
  <c r="E255" i="15"/>
  <c r="D256" i="15"/>
  <c r="E256" i="15"/>
  <c r="D257" i="15"/>
  <c r="E257" i="15"/>
  <c r="C252" i="15"/>
  <c r="C253" i="15"/>
  <c r="C254" i="15"/>
  <c r="C255" i="15"/>
  <c r="C256" i="15"/>
  <c r="C257" i="15"/>
  <c r="C251" i="15"/>
  <c r="B257" i="15"/>
  <c r="A257" i="15"/>
  <c r="B256" i="15"/>
  <c r="A256" i="15"/>
  <c r="B255" i="15"/>
  <c r="A255" i="15"/>
  <c r="B254" i="15"/>
  <c r="A254" i="15"/>
  <c r="B253" i="15"/>
  <c r="A253" i="15"/>
  <c r="B252" i="15"/>
  <c r="A252" i="15"/>
  <c r="B251" i="15"/>
  <c r="A251" i="15"/>
  <c r="B240" i="15"/>
  <c r="C240" i="15"/>
  <c r="D240" i="15"/>
  <c r="E240" i="15"/>
  <c r="F240" i="15"/>
  <c r="G240" i="15"/>
  <c r="B241" i="15"/>
  <c r="C241" i="15"/>
  <c r="D241" i="15"/>
  <c r="E241" i="15"/>
  <c r="F241" i="15"/>
  <c r="G241" i="15"/>
  <c r="B242" i="15"/>
  <c r="C242" i="15"/>
  <c r="D242" i="15"/>
  <c r="E242" i="15"/>
  <c r="F242" i="15"/>
  <c r="G242" i="15"/>
  <c r="B243" i="15"/>
  <c r="C243" i="15"/>
  <c r="D243" i="15"/>
  <c r="E243" i="15"/>
  <c r="F243" i="15"/>
  <c r="G243" i="15"/>
  <c r="B244" i="15"/>
  <c r="C244" i="15"/>
  <c r="D244" i="15"/>
  <c r="E244" i="15"/>
  <c r="F244" i="15"/>
  <c r="G244" i="15"/>
  <c r="B245" i="15"/>
  <c r="C245" i="15"/>
  <c r="D245" i="15"/>
  <c r="E245" i="15"/>
  <c r="F245" i="15"/>
  <c r="G245" i="15"/>
  <c r="B246" i="15"/>
  <c r="C246" i="15"/>
  <c r="D246" i="15"/>
  <c r="E246" i="15"/>
  <c r="F246" i="15"/>
  <c r="G246" i="15"/>
  <c r="B247" i="15"/>
  <c r="C247" i="15"/>
  <c r="D247" i="15"/>
  <c r="E247" i="15"/>
  <c r="F247" i="15"/>
  <c r="G247" i="15"/>
  <c r="B248" i="15"/>
  <c r="C248" i="15"/>
  <c r="D248" i="15"/>
  <c r="E248" i="15"/>
  <c r="A248" i="15"/>
  <c r="A241" i="15"/>
  <c r="A242" i="15"/>
  <c r="A243" i="15"/>
  <c r="A244" i="15"/>
  <c r="A245" i="15"/>
  <c r="A246" i="15"/>
  <c r="A247" i="15"/>
  <c r="A240" i="15"/>
  <c r="E226" i="15"/>
  <c r="E234" i="15"/>
  <c r="D219" i="15"/>
  <c r="E219" i="15"/>
  <c r="F219" i="15"/>
  <c r="G219" i="15"/>
  <c r="D220" i="15"/>
  <c r="D226" i="15"/>
  <c r="E220" i="15"/>
  <c r="F220" i="15"/>
  <c r="G220" i="15"/>
  <c r="D221" i="15"/>
  <c r="D231" i="15"/>
  <c r="E221" i="15"/>
  <c r="F221" i="15"/>
  <c r="G221" i="15"/>
  <c r="D222" i="15"/>
  <c r="E222" i="15"/>
  <c r="F222" i="15"/>
  <c r="G222" i="15"/>
  <c r="D223" i="15"/>
  <c r="D233" i="15"/>
  <c r="E223" i="15"/>
  <c r="F223" i="15"/>
  <c r="G223" i="15"/>
  <c r="D224" i="15"/>
  <c r="E224" i="15"/>
  <c r="F224" i="15"/>
  <c r="G224" i="15"/>
  <c r="D225" i="15"/>
  <c r="D235" i="15"/>
  <c r="E225" i="15"/>
  <c r="F225" i="15"/>
  <c r="G225" i="15"/>
  <c r="C220" i="15"/>
  <c r="C221" i="15"/>
  <c r="C222" i="15"/>
  <c r="C223" i="15"/>
  <c r="C224" i="15"/>
  <c r="C225" i="15"/>
  <c r="C219" i="15"/>
  <c r="D19" i="15"/>
  <c r="D9" i="15"/>
  <c r="E9" i="15"/>
  <c r="F9" i="15"/>
  <c r="C9" i="1"/>
  <c r="E6" i="1"/>
  <c r="F6" i="1"/>
  <c r="G6" i="1"/>
  <c r="C6" i="1"/>
  <c r="G27" i="15"/>
  <c r="F27" i="15"/>
  <c r="E27" i="15"/>
  <c r="D27" i="15"/>
  <c r="C27" i="15"/>
  <c r="B156" i="17"/>
  <c r="C156" i="17"/>
  <c r="D62" i="17"/>
  <c r="D156" i="17"/>
  <c r="E62" i="17"/>
  <c r="E156" i="17"/>
  <c r="A156" i="17"/>
  <c r="E22" i="17"/>
  <c r="E137" i="17"/>
  <c r="D22" i="17"/>
  <c r="D137" i="17"/>
  <c r="C22" i="17"/>
  <c r="C137" i="17"/>
  <c r="B132" i="17"/>
  <c r="B134" i="17"/>
  <c r="C134" i="17"/>
  <c r="D134" i="17"/>
  <c r="E134" i="17"/>
  <c r="B135" i="17"/>
  <c r="C135" i="17"/>
  <c r="D135" i="17"/>
  <c r="E135" i="17"/>
  <c r="B136" i="17"/>
  <c r="C136" i="17"/>
  <c r="D21" i="17"/>
  <c r="D136" i="17"/>
  <c r="E21" i="17"/>
  <c r="E136" i="17"/>
  <c r="B137" i="17"/>
  <c r="B138" i="17"/>
  <c r="C138" i="17"/>
  <c r="D138" i="17"/>
  <c r="E138" i="17"/>
  <c r="B139" i="17"/>
  <c r="C24" i="17"/>
  <c r="C139" i="17"/>
  <c r="D139" i="17"/>
  <c r="E139" i="17"/>
  <c r="B141" i="17"/>
  <c r="C26" i="17"/>
  <c r="C141" i="17"/>
  <c r="D26" i="17"/>
  <c r="D141" i="17"/>
  <c r="E26" i="17"/>
  <c r="E141" i="17"/>
  <c r="B142" i="17"/>
  <c r="C142" i="17"/>
  <c r="D142" i="17"/>
  <c r="E142" i="17"/>
  <c r="B143" i="17"/>
  <c r="C143" i="17"/>
  <c r="D143" i="17"/>
  <c r="E143" i="17"/>
  <c r="B144" i="17"/>
  <c r="C144" i="17"/>
  <c r="D144" i="17"/>
  <c r="E144" i="17"/>
  <c r="B145" i="17"/>
  <c r="C145" i="17"/>
  <c r="D145" i="17"/>
  <c r="E145" i="17"/>
  <c r="B146" i="17"/>
  <c r="C146" i="17"/>
  <c r="D146" i="17"/>
  <c r="E146" i="17"/>
  <c r="B147" i="17"/>
  <c r="C147" i="17"/>
  <c r="D147" i="17"/>
  <c r="E147" i="17"/>
  <c r="B148" i="17"/>
  <c r="C148" i="17"/>
  <c r="D148" i="17"/>
  <c r="E148" i="17"/>
  <c r="B149" i="17"/>
  <c r="C149" i="17"/>
  <c r="D149" i="17"/>
  <c r="E149" i="17"/>
  <c r="B150" i="17"/>
  <c r="C38" i="17"/>
  <c r="C150" i="17"/>
  <c r="D38" i="17"/>
  <c r="D150" i="17"/>
  <c r="E38" i="17"/>
  <c r="E150" i="17"/>
  <c r="B151" i="17"/>
  <c r="C151" i="17"/>
  <c r="D151" i="17"/>
  <c r="E39" i="17"/>
  <c r="E151" i="17"/>
  <c r="B152" i="17"/>
  <c r="C40" i="17"/>
  <c r="C152" i="17"/>
  <c r="D40" i="17"/>
  <c r="D152" i="17"/>
  <c r="E40" i="17"/>
  <c r="E152" i="17"/>
  <c r="B154" i="17"/>
  <c r="C154" i="17"/>
  <c r="D154" i="17"/>
  <c r="E154" i="17"/>
  <c r="A154" i="17"/>
  <c r="A149" i="17"/>
  <c r="A150" i="17"/>
  <c r="A151" i="17"/>
  <c r="A152" i="17"/>
  <c r="A148" i="17"/>
  <c r="A147" i="17"/>
  <c r="A146" i="17"/>
  <c r="A135" i="17"/>
  <c r="A136" i="17"/>
  <c r="A137" i="17"/>
  <c r="A138" i="17"/>
  <c r="A139" i="17"/>
  <c r="A141" i="17"/>
  <c r="A142" i="17"/>
  <c r="A143" i="17"/>
  <c r="A144" i="17"/>
  <c r="A145" i="17"/>
  <c r="A134" i="17"/>
  <c r="A132" i="17"/>
  <c r="D47" i="17"/>
  <c r="C192" i="16"/>
  <c r="D115" i="15"/>
  <c r="D124" i="15"/>
  <c r="J124" i="15"/>
  <c r="E115" i="15"/>
  <c r="E126" i="15"/>
  <c r="K126" i="15"/>
  <c r="C115" i="15"/>
  <c r="C124" i="15"/>
  <c r="I124" i="15"/>
  <c r="D208" i="15"/>
  <c r="E208" i="15"/>
  <c r="F208" i="15"/>
  <c r="E120" i="16"/>
  <c r="E45" i="16"/>
  <c r="F45" i="16"/>
  <c r="G45" i="16"/>
  <c r="G226" i="15"/>
  <c r="G233" i="15"/>
  <c r="G31" i="5"/>
  <c r="F226" i="15"/>
  <c r="F231" i="15"/>
  <c r="F24" i="6"/>
  <c r="AE49" i="6"/>
  <c r="AA49" i="6"/>
  <c r="W49" i="6"/>
  <c r="S49" i="6"/>
  <c r="AD49" i="6"/>
  <c r="Z49" i="6"/>
  <c r="V49" i="6"/>
  <c r="R49" i="6"/>
  <c r="AG49" i="6"/>
  <c r="AC49" i="6"/>
  <c r="Y49" i="6"/>
  <c r="U49" i="6"/>
  <c r="Q49" i="6"/>
  <c r="AF49" i="6"/>
  <c r="AB49" i="6"/>
  <c r="X49" i="6"/>
  <c r="T49" i="6"/>
  <c r="P99" i="6"/>
  <c r="T99" i="6"/>
  <c r="X99" i="6"/>
  <c r="AB99" i="6"/>
  <c r="AF99" i="6"/>
  <c r="O46" i="6"/>
  <c r="O61" i="6"/>
  <c r="P4" i="6"/>
  <c r="Q42" i="6"/>
  <c r="Q75" i="6"/>
  <c r="Q46" i="6"/>
  <c r="Q61" i="6"/>
  <c r="M44" i="6"/>
  <c r="L58" i="6"/>
  <c r="L52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N52" i="6"/>
  <c r="N68" i="6"/>
  <c r="N46" i="6"/>
  <c r="N61" i="6"/>
  <c r="N63" i="6"/>
  <c r="R52" i="6"/>
  <c r="R46" i="6"/>
  <c r="Q76" i="6"/>
  <c r="Q99" i="6"/>
  <c r="U99" i="6"/>
  <c r="Y99" i="6"/>
  <c r="AC99" i="6"/>
  <c r="AG99" i="6"/>
  <c r="R99" i="6"/>
  <c r="V99" i="6"/>
  <c r="Z99" i="6"/>
  <c r="AD99" i="6"/>
  <c r="F230" i="15"/>
  <c r="F229" i="15"/>
  <c r="D232" i="15"/>
  <c r="D229" i="15"/>
  <c r="C226" i="15"/>
  <c r="C230" i="15"/>
  <c r="G232" i="15"/>
  <c r="G31" i="4"/>
  <c r="E230" i="15"/>
  <c r="G229" i="15"/>
  <c r="G235" i="15"/>
  <c r="D234" i="15"/>
  <c r="E233" i="15"/>
  <c r="G231" i="15"/>
  <c r="C231" i="15"/>
  <c r="D230" i="15"/>
  <c r="D236" i="15"/>
  <c r="G234" i="15"/>
  <c r="G38" i="6"/>
  <c r="E232" i="15"/>
  <c r="G230" i="15"/>
  <c r="E229" i="15"/>
  <c r="E236" i="15"/>
  <c r="E235" i="15"/>
  <c r="E231" i="15"/>
  <c r="C127" i="15"/>
  <c r="E19" i="15"/>
  <c r="F19" i="15"/>
  <c r="G19" i="15"/>
  <c r="E127" i="15"/>
  <c r="D127" i="15"/>
  <c r="G9" i="15"/>
  <c r="G9" i="1"/>
  <c r="F9" i="1"/>
  <c r="E9" i="1"/>
  <c r="E45" i="17"/>
  <c r="E123" i="15"/>
  <c r="E124" i="15"/>
  <c r="K124" i="15"/>
  <c r="E125" i="15"/>
  <c r="K125" i="15"/>
  <c r="D123" i="15"/>
  <c r="D125" i="15"/>
  <c r="J125" i="15"/>
  <c r="D126" i="15"/>
  <c r="J126" i="15"/>
  <c r="C123" i="15"/>
  <c r="I123" i="15"/>
  <c r="C126" i="15"/>
  <c r="I126" i="15"/>
  <c r="C125" i="15"/>
  <c r="I125" i="15"/>
  <c r="F24" i="17"/>
  <c r="G24" i="17"/>
  <c r="E114" i="17"/>
  <c r="E111" i="17"/>
  <c r="D111" i="17"/>
  <c r="B111" i="17"/>
  <c r="G110" i="17"/>
  <c r="D61" i="17"/>
  <c r="C61" i="17"/>
  <c r="E34" i="17"/>
  <c r="E18" i="17"/>
  <c r="E31" i="17"/>
  <c r="E61" i="17"/>
  <c r="C114" i="17"/>
  <c r="C31" i="17"/>
  <c r="G118" i="17"/>
  <c r="G117" i="17"/>
  <c r="G116" i="17"/>
  <c r="G115" i="17"/>
  <c r="F114" i="17"/>
  <c r="G114" i="17"/>
  <c r="D114" i="17"/>
  <c r="B114" i="17"/>
  <c r="B107" i="17"/>
  <c r="G106" i="17"/>
  <c r="F105" i="17"/>
  <c r="G105" i="17"/>
  <c r="B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B69" i="17"/>
  <c r="G67" i="17"/>
  <c r="F67" i="17"/>
  <c r="E67" i="17"/>
  <c r="D67" i="17"/>
  <c r="C67" i="17"/>
  <c r="B67" i="17"/>
  <c r="G66" i="17"/>
  <c r="F66" i="17"/>
  <c r="E66" i="17"/>
  <c r="D66" i="17"/>
  <c r="C66" i="17"/>
  <c r="B66" i="17"/>
  <c r="G65" i="17"/>
  <c r="F65" i="17"/>
  <c r="E65" i="17"/>
  <c r="D65" i="17"/>
  <c r="C65" i="17"/>
  <c r="B65" i="17"/>
  <c r="G64" i="17"/>
  <c r="G62" i="17"/>
  <c r="F61" i="17"/>
  <c r="G61" i="17"/>
  <c r="B61" i="17"/>
  <c r="G53" i="17"/>
  <c r="G52" i="17"/>
  <c r="G51" i="17"/>
  <c r="G44" i="17"/>
  <c r="F43" i="17"/>
  <c r="G43" i="17"/>
  <c r="B43" i="17"/>
  <c r="G42" i="17"/>
  <c r="G39" i="17"/>
  <c r="G38" i="17"/>
  <c r="G35" i="17"/>
  <c r="F34" i="17"/>
  <c r="G34" i="17"/>
  <c r="B34" i="17"/>
  <c r="G32" i="17"/>
  <c r="F31" i="17"/>
  <c r="G31" i="17"/>
  <c r="D31" i="17"/>
  <c r="B31" i="17"/>
  <c r="G30" i="17"/>
  <c r="G29" i="17"/>
  <c r="G28" i="17"/>
  <c r="G27" i="17"/>
  <c r="G26" i="17"/>
  <c r="G23" i="17"/>
  <c r="G22" i="17"/>
  <c r="G21" i="17"/>
  <c r="G20" i="17"/>
  <c r="G19" i="17"/>
  <c r="F18" i="17"/>
  <c r="D18" i="17"/>
  <c r="B18" i="17"/>
  <c r="B13" i="17"/>
  <c r="B186" i="16"/>
  <c r="B185" i="16"/>
  <c r="D180" i="16"/>
  <c r="C180" i="16"/>
  <c r="B180" i="16"/>
  <c r="G169" i="16"/>
  <c r="F169" i="16"/>
  <c r="E169" i="16"/>
  <c r="F158" i="16"/>
  <c r="E158" i="16"/>
  <c r="B143" i="16"/>
  <c r="B142" i="16"/>
  <c r="G132" i="16"/>
  <c r="F132" i="16"/>
  <c r="F282" i="16"/>
  <c r="E132" i="16"/>
  <c r="E282" i="16"/>
  <c r="G126" i="16"/>
  <c r="G281" i="16"/>
  <c r="F126" i="16"/>
  <c r="F281" i="16"/>
  <c r="E126" i="16"/>
  <c r="E281" i="16"/>
  <c r="G120" i="16"/>
  <c r="G280" i="16"/>
  <c r="F120" i="16"/>
  <c r="G96" i="16"/>
  <c r="F96" i="16"/>
  <c r="F97" i="16"/>
  <c r="E96" i="16"/>
  <c r="E97" i="16"/>
  <c r="D96" i="16"/>
  <c r="D97" i="16"/>
  <c r="C96" i="16"/>
  <c r="B96" i="16"/>
  <c r="B97" i="16"/>
  <c r="G91" i="16"/>
  <c r="F91" i="16"/>
  <c r="E91" i="16"/>
  <c r="D91" i="16"/>
  <c r="D92" i="16"/>
  <c r="G76" i="16"/>
  <c r="G77" i="16"/>
  <c r="F76" i="16"/>
  <c r="F77" i="16"/>
  <c r="E76" i="16"/>
  <c r="D76" i="16"/>
  <c r="D77" i="16"/>
  <c r="C76" i="16"/>
  <c r="C77" i="16"/>
  <c r="B76" i="16"/>
  <c r="B77" i="16"/>
  <c r="B71" i="16"/>
  <c r="C71" i="16"/>
  <c r="C72" i="16"/>
  <c r="D71" i="16"/>
  <c r="D72" i="16"/>
  <c r="E71" i="16"/>
  <c r="F71" i="16"/>
  <c r="G71" i="16"/>
  <c r="D56" i="16"/>
  <c r="D57" i="16"/>
  <c r="D59" i="16"/>
  <c r="C56" i="16"/>
  <c r="C57" i="16"/>
  <c r="B56" i="16"/>
  <c r="B45" i="16"/>
  <c r="C45" i="16"/>
  <c r="D45" i="16"/>
  <c r="B36" i="16"/>
  <c r="C36" i="16"/>
  <c r="C37" i="16"/>
  <c r="D36" i="16"/>
  <c r="D37" i="16"/>
  <c r="E36" i="16"/>
  <c r="E37" i="16"/>
  <c r="F36" i="16"/>
  <c r="G36" i="16"/>
  <c r="B17" i="16"/>
  <c r="B18" i="16"/>
  <c r="F280" i="16"/>
  <c r="E280" i="16"/>
  <c r="G193" i="16"/>
  <c r="F193" i="16"/>
  <c r="E193" i="16"/>
  <c r="D193" i="16"/>
  <c r="G192" i="16"/>
  <c r="F192" i="16"/>
  <c r="E192" i="16"/>
  <c r="D192" i="16"/>
  <c r="D31" i="16"/>
  <c r="E31" i="16"/>
  <c r="F31" i="16"/>
  <c r="G31" i="16"/>
  <c r="E17" i="16"/>
  <c r="E278" i="16"/>
  <c r="F17" i="16"/>
  <c r="F278" i="16"/>
  <c r="G17" i="16"/>
  <c r="G278" i="16"/>
  <c r="C17" i="16"/>
  <c r="C278" i="16"/>
  <c r="G190" i="16"/>
  <c r="F190" i="16"/>
  <c r="E190" i="16"/>
  <c r="D190" i="16"/>
  <c r="C190" i="16"/>
  <c r="G191" i="16"/>
  <c r="F191" i="16"/>
  <c r="E191" i="16"/>
  <c r="D191" i="16"/>
  <c r="C46" i="15"/>
  <c r="C54" i="15"/>
  <c r="C31" i="16"/>
  <c r="C24" i="16"/>
  <c r="C189" i="16"/>
  <c r="E188" i="16"/>
  <c r="F188" i="16"/>
  <c r="G188" i="16"/>
  <c r="D188" i="16"/>
  <c r="C188" i="16"/>
  <c r="E17" i="15"/>
  <c r="E167" i="15"/>
  <c r="F17" i="15"/>
  <c r="F164" i="15"/>
  <c r="G17" i="15"/>
  <c r="G248" i="15"/>
  <c r="D277" i="16"/>
  <c r="E277" i="16"/>
  <c r="F277" i="16"/>
  <c r="G277" i="16"/>
  <c r="C141" i="16"/>
  <c r="C204" i="16"/>
  <c r="G141" i="16"/>
  <c r="G204" i="16"/>
  <c r="F141" i="16"/>
  <c r="F204" i="16"/>
  <c r="E141" i="16"/>
  <c r="E204" i="16"/>
  <c r="D141" i="16"/>
  <c r="D204" i="16"/>
  <c r="H9" i="1"/>
  <c r="C17" i="15"/>
  <c r="C167" i="15"/>
  <c r="C34" i="6"/>
  <c r="C19" i="14"/>
  <c r="D10" i="5"/>
  <c r="E10" i="5"/>
  <c r="F10" i="5"/>
  <c r="G10" i="5"/>
  <c r="C10" i="5"/>
  <c r="D32" i="11"/>
  <c r="E32" i="11"/>
  <c r="F32" i="11"/>
  <c r="G32" i="11"/>
  <c r="D32" i="12"/>
  <c r="E32" i="12"/>
  <c r="F32" i="12"/>
  <c r="G32" i="12"/>
  <c r="D32" i="13"/>
  <c r="E32" i="13"/>
  <c r="F32" i="13"/>
  <c r="G32" i="13"/>
  <c r="D32" i="10"/>
  <c r="E32" i="10"/>
  <c r="F32" i="10"/>
  <c r="G32" i="10"/>
  <c r="C32" i="11"/>
  <c r="C32" i="12"/>
  <c r="C32" i="13"/>
  <c r="C32" i="10"/>
  <c r="D32" i="9"/>
  <c r="E32" i="9"/>
  <c r="F32" i="9"/>
  <c r="G32" i="9"/>
  <c r="C32" i="9"/>
  <c r="D32" i="7"/>
  <c r="E32" i="7"/>
  <c r="F32" i="7"/>
  <c r="G32" i="7"/>
  <c r="D32" i="8"/>
  <c r="E32" i="8"/>
  <c r="F32" i="8"/>
  <c r="G32" i="8"/>
  <c r="C32" i="7"/>
  <c r="C32" i="8"/>
  <c r="B31" i="5"/>
  <c r="D25" i="6"/>
  <c r="E25" i="6"/>
  <c r="F25" i="6"/>
  <c r="G25" i="6"/>
  <c r="C25" i="6"/>
  <c r="D22" i="6"/>
  <c r="E22" i="6"/>
  <c r="F22" i="6"/>
  <c r="G22" i="6"/>
  <c r="C22" i="6"/>
  <c r="D14" i="6"/>
  <c r="D15" i="6"/>
  <c r="C15" i="6"/>
  <c r="C14" i="6"/>
  <c r="D7" i="6"/>
  <c r="D10" i="6"/>
  <c r="D7" i="14"/>
  <c r="E7" i="6"/>
  <c r="E10" i="6"/>
  <c r="F7" i="6"/>
  <c r="F10" i="6"/>
  <c r="G7" i="6"/>
  <c r="G10" i="6"/>
  <c r="G7" i="14"/>
  <c r="C7" i="6"/>
  <c r="C10" i="6"/>
  <c r="C7" i="14"/>
  <c r="D6" i="6"/>
  <c r="D9" i="6"/>
  <c r="D24" i="16"/>
  <c r="D65" i="16"/>
  <c r="E6" i="6"/>
  <c r="F6" i="6"/>
  <c r="G6" i="6"/>
  <c r="C6" i="6"/>
  <c r="C9" i="6"/>
  <c r="C65" i="16"/>
  <c r="B29" i="5"/>
  <c r="D4" i="16"/>
  <c r="E4" i="16"/>
  <c r="F4" i="16"/>
  <c r="G4" i="16"/>
  <c r="D25" i="5"/>
  <c r="E25" i="5"/>
  <c r="F25" i="5"/>
  <c r="G25" i="5"/>
  <c r="C25" i="5"/>
  <c r="D22" i="5"/>
  <c r="E22" i="5"/>
  <c r="F22" i="5"/>
  <c r="G22" i="5"/>
  <c r="C22" i="5"/>
  <c r="D6" i="5"/>
  <c r="E6" i="5"/>
  <c r="E9" i="5"/>
  <c r="E24" i="16"/>
  <c r="F6" i="5"/>
  <c r="F9" i="5"/>
  <c r="G6" i="5"/>
  <c r="G9" i="5"/>
  <c r="F24" i="16"/>
  <c r="G24" i="16"/>
  <c r="C6" i="5"/>
  <c r="C9" i="5"/>
  <c r="D9" i="5"/>
  <c r="D10" i="15"/>
  <c r="D22" i="4"/>
  <c r="E22" i="4"/>
  <c r="F22" i="4"/>
  <c r="G22" i="4"/>
  <c r="D6" i="4"/>
  <c r="D9" i="4"/>
  <c r="E6" i="4"/>
  <c r="E9" i="4"/>
  <c r="F6" i="4"/>
  <c r="F9" i="4"/>
  <c r="G6" i="4"/>
  <c r="G9" i="4"/>
  <c r="C6" i="4"/>
  <c r="C9" i="4"/>
  <c r="D282" i="16"/>
  <c r="C282" i="16"/>
  <c r="B282" i="16"/>
  <c r="D281" i="16"/>
  <c r="C281" i="16"/>
  <c r="B281" i="16"/>
  <c r="D280" i="16"/>
  <c r="C280" i="16"/>
  <c r="B280" i="16"/>
  <c r="B277" i="16"/>
  <c r="D263" i="16"/>
  <c r="C260" i="16"/>
  <c r="B260" i="16"/>
  <c r="D240" i="16"/>
  <c r="C240" i="16"/>
  <c r="B240" i="16"/>
  <c r="N186" i="16"/>
  <c r="M186" i="16"/>
  <c r="L186" i="16"/>
  <c r="K186" i="16"/>
  <c r="J186" i="16"/>
  <c r="J198" i="16"/>
  <c r="G182" i="16"/>
  <c r="F182" i="16"/>
  <c r="E182" i="16"/>
  <c r="G181" i="16"/>
  <c r="F181" i="16"/>
  <c r="E181" i="16"/>
  <c r="G179" i="16"/>
  <c r="F179" i="16"/>
  <c r="E179" i="16"/>
  <c r="D179" i="16"/>
  <c r="C179" i="16"/>
  <c r="N175" i="16"/>
  <c r="M175" i="16"/>
  <c r="L175" i="16"/>
  <c r="K175" i="16"/>
  <c r="J175" i="16"/>
  <c r="E175" i="16"/>
  <c r="F175" i="16"/>
  <c r="B174" i="16"/>
  <c r="G172" i="16"/>
  <c r="F172" i="16"/>
  <c r="E172" i="16"/>
  <c r="D172" i="16"/>
  <c r="C172" i="16"/>
  <c r="B172" i="16"/>
  <c r="B163" i="16"/>
  <c r="G171" i="16"/>
  <c r="F171" i="16"/>
  <c r="E171" i="16"/>
  <c r="G170" i="16"/>
  <c r="F170" i="16"/>
  <c r="E170" i="16"/>
  <c r="N169" i="16"/>
  <c r="M169" i="16"/>
  <c r="L169" i="16"/>
  <c r="K169" i="16"/>
  <c r="J169" i="16"/>
  <c r="D169" i="16"/>
  <c r="N168" i="16"/>
  <c r="N180" i="16"/>
  <c r="M168" i="16"/>
  <c r="M180" i="16"/>
  <c r="L168" i="16"/>
  <c r="L180" i="16"/>
  <c r="K168" i="16"/>
  <c r="K180" i="16"/>
  <c r="J168" i="16"/>
  <c r="J180" i="16"/>
  <c r="G168" i="16"/>
  <c r="F168" i="16"/>
  <c r="E168" i="16"/>
  <c r="N167" i="16"/>
  <c r="N179" i="16"/>
  <c r="M167" i="16"/>
  <c r="M179" i="16"/>
  <c r="L167" i="16"/>
  <c r="L179" i="16"/>
  <c r="K167" i="16"/>
  <c r="K179" i="16"/>
  <c r="J167" i="16"/>
  <c r="J179" i="16"/>
  <c r="N166" i="16"/>
  <c r="N178" i="16"/>
  <c r="M166" i="16"/>
  <c r="M178" i="16"/>
  <c r="L166" i="16"/>
  <c r="L178" i="16"/>
  <c r="K166" i="16"/>
  <c r="K178" i="16"/>
  <c r="J166" i="16"/>
  <c r="J178" i="16"/>
  <c r="N164" i="16"/>
  <c r="N176" i="16"/>
  <c r="M164" i="16"/>
  <c r="M176" i="16"/>
  <c r="L164" i="16"/>
  <c r="L176" i="16"/>
  <c r="K164" i="16"/>
  <c r="K176" i="16"/>
  <c r="J164" i="16"/>
  <c r="J176" i="16"/>
  <c r="E164" i="16"/>
  <c r="F164" i="16"/>
  <c r="C163" i="16"/>
  <c r="D158" i="16"/>
  <c r="F155" i="16"/>
  <c r="G155" i="16"/>
  <c r="N154" i="16"/>
  <c r="N165" i="16"/>
  <c r="N177" i="16"/>
  <c r="M154" i="16"/>
  <c r="M165" i="16"/>
  <c r="M177" i="16"/>
  <c r="F177" i="16"/>
  <c r="L154" i="16"/>
  <c r="L165" i="16"/>
  <c r="L177" i="16"/>
  <c r="K154" i="16"/>
  <c r="K165" i="16"/>
  <c r="K177" i="16"/>
  <c r="J154" i="16"/>
  <c r="J165" i="16"/>
  <c r="J177" i="16"/>
  <c r="F153" i="16"/>
  <c r="G153" i="16"/>
  <c r="B150" i="16"/>
  <c r="N142" i="16"/>
  <c r="M142" i="16"/>
  <c r="L142" i="16"/>
  <c r="K142" i="16"/>
  <c r="J142" i="16"/>
  <c r="G282" i="16"/>
  <c r="D130" i="16"/>
  <c r="D131" i="16"/>
  <c r="D272" i="16"/>
  <c r="D124" i="16"/>
  <c r="D125" i="16"/>
  <c r="D266" i="16"/>
  <c r="D117" i="16"/>
  <c r="D118" i="16"/>
  <c r="D119" i="16"/>
  <c r="D260" i="16"/>
  <c r="B111" i="16"/>
  <c r="B112" i="16"/>
  <c r="B104" i="16"/>
  <c r="B105" i="16"/>
  <c r="C85" i="16"/>
  <c r="C92" i="16"/>
  <c r="E52" i="16"/>
  <c r="D51" i="16"/>
  <c r="C51" i="16"/>
  <c r="C52" i="16"/>
  <c r="B51" i="16"/>
  <c r="B52" i="16"/>
  <c r="B35" i="16"/>
  <c r="B55" i="16"/>
  <c r="B31" i="16"/>
  <c r="B32" i="16"/>
  <c r="B25" i="16"/>
  <c r="B106" i="16"/>
  <c r="B24" i="16"/>
  <c r="B10" i="16"/>
  <c r="D9" i="16"/>
  <c r="C277" i="16"/>
  <c r="D207" i="15"/>
  <c r="E207" i="15"/>
  <c r="F207" i="15"/>
  <c r="B206" i="15"/>
  <c r="D206" i="15"/>
  <c r="E206" i="15"/>
  <c r="F206" i="15"/>
  <c r="C103" i="15"/>
  <c r="B205" i="15"/>
  <c r="D205" i="15"/>
  <c r="E205" i="15"/>
  <c r="F205" i="15"/>
  <c r="B204" i="15"/>
  <c r="D204" i="15"/>
  <c r="E204" i="15"/>
  <c r="F204" i="15"/>
  <c r="D91" i="15"/>
  <c r="D97" i="15"/>
  <c r="D176" i="16"/>
  <c r="B203" i="15"/>
  <c r="D203" i="15"/>
  <c r="E203" i="15"/>
  <c r="F203" i="15"/>
  <c r="B202" i="15"/>
  <c r="B201" i="15"/>
  <c r="D201" i="15"/>
  <c r="E201" i="15"/>
  <c r="F201" i="15"/>
  <c r="F89" i="15"/>
  <c r="F95" i="15"/>
  <c r="F102" i="15"/>
  <c r="E200" i="15"/>
  <c r="C195" i="15"/>
  <c r="F178" i="15"/>
  <c r="H172" i="15"/>
  <c r="D154" i="15"/>
  <c r="C154" i="15"/>
  <c r="B154" i="15"/>
  <c r="G153" i="15"/>
  <c r="G154" i="15"/>
  <c r="F153" i="15"/>
  <c r="F180" i="16"/>
  <c r="E153" i="15"/>
  <c r="E180" i="16"/>
  <c r="B140" i="15"/>
  <c r="A138" i="15"/>
  <c r="A152" i="15"/>
  <c r="A167" i="15"/>
  <c r="A184" i="15"/>
  <c r="A137" i="15"/>
  <c r="A151" i="15"/>
  <c r="A166" i="15"/>
  <c r="A183" i="15"/>
  <c r="C136" i="15"/>
  <c r="C22" i="4"/>
  <c r="A136" i="15"/>
  <c r="A150" i="15"/>
  <c r="A165" i="15"/>
  <c r="A182" i="15"/>
  <c r="D140" i="15"/>
  <c r="A135" i="15"/>
  <c r="A149" i="15"/>
  <c r="A164" i="15"/>
  <c r="A181" i="15"/>
  <c r="A134" i="15"/>
  <c r="A148" i="15"/>
  <c r="A163" i="15"/>
  <c r="A180" i="15"/>
  <c r="H104" i="15"/>
  <c r="H103" i="15"/>
  <c r="H102" i="15"/>
  <c r="H101" i="15"/>
  <c r="H97" i="15"/>
  <c r="H96" i="15"/>
  <c r="H95" i="15"/>
  <c r="A93" i="15"/>
  <c r="H91" i="15"/>
  <c r="H90" i="15"/>
  <c r="H89" i="15"/>
  <c r="A87" i="15"/>
  <c r="H78" i="15"/>
  <c r="J74" i="15"/>
  <c r="H66" i="15"/>
  <c r="J59" i="15"/>
  <c r="C63" i="15"/>
  <c r="H53" i="15"/>
  <c r="A51" i="15"/>
  <c r="A64" i="15"/>
  <c r="A76" i="15"/>
  <c r="A50" i="15"/>
  <c r="A63" i="15"/>
  <c r="A75" i="15"/>
  <c r="A49" i="15"/>
  <c r="A62" i="15"/>
  <c r="A74" i="15"/>
  <c r="A48" i="15"/>
  <c r="A61" i="15"/>
  <c r="A73" i="15"/>
  <c r="A47" i="15"/>
  <c r="A60" i="15"/>
  <c r="A72" i="15"/>
  <c r="J46" i="15"/>
  <c r="G50" i="15"/>
  <c r="G14" i="5"/>
  <c r="E14" i="6"/>
  <c r="B91" i="16"/>
  <c r="B92" i="16"/>
  <c r="F43" i="15"/>
  <c r="F113" i="15"/>
  <c r="G38" i="15"/>
  <c r="G40" i="15"/>
  <c r="F38" i="15"/>
  <c r="D38" i="15"/>
  <c r="C38" i="15"/>
  <c r="E38" i="15"/>
  <c r="E40" i="15"/>
  <c r="A36" i="15"/>
  <c r="A35" i="15"/>
  <c r="A34" i="15"/>
  <c r="A33" i="15"/>
  <c r="A32" i="15"/>
  <c r="B163" i="15"/>
  <c r="I5" i="15"/>
  <c r="G5" i="15"/>
  <c r="E5" i="15"/>
  <c r="C5" i="15"/>
  <c r="G3" i="15"/>
  <c r="G65" i="15"/>
  <c r="C174" i="16"/>
  <c r="B57" i="16"/>
  <c r="B59" i="16"/>
  <c r="B75" i="16"/>
  <c r="B95" i="16"/>
  <c r="E9" i="16"/>
  <c r="B85" i="16"/>
  <c r="B65" i="16"/>
  <c r="C35" i="16"/>
  <c r="F52" i="16"/>
  <c r="B294" i="16"/>
  <c r="G175" i="16"/>
  <c r="C106" i="16"/>
  <c r="D85" i="16"/>
  <c r="B113" i="16"/>
  <c r="B279" i="16"/>
  <c r="B37" i="16"/>
  <c r="D52" i="16"/>
  <c r="B72" i="16"/>
  <c r="B107" i="16"/>
  <c r="G164" i="16"/>
  <c r="K198" i="16"/>
  <c r="F166" i="16"/>
  <c r="G166" i="16"/>
  <c r="D158" i="15"/>
  <c r="D175" i="15"/>
  <c r="D144" i="15"/>
  <c r="F158" i="15"/>
  <c r="F175" i="15"/>
  <c r="F144" i="15"/>
  <c r="D43" i="15"/>
  <c r="D113" i="15"/>
  <c r="G52" i="15"/>
  <c r="C14" i="5"/>
  <c r="F65" i="15"/>
  <c r="E65" i="15"/>
  <c r="E15" i="6"/>
  <c r="C144" i="15"/>
  <c r="C158" i="15"/>
  <c r="C175" i="15"/>
  <c r="C43" i="15"/>
  <c r="C113" i="15"/>
  <c r="E158" i="15"/>
  <c r="E175" i="15"/>
  <c r="E144" i="15"/>
  <c r="E43" i="15"/>
  <c r="E113" i="15"/>
  <c r="G144" i="15"/>
  <c r="G158" i="15"/>
  <c r="G175" i="15"/>
  <c r="G43" i="15"/>
  <c r="G113" i="15"/>
  <c r="F52" i="15"/>
  <c r="E52" i="15"/>
  <c r="F139" i="15"/>
  <c r="F140" i="15"/>
  <c r="E139" i="15"/>
  <c r="E140" i="15"/>
  <c r="G139" i="15"/>
  <c r="G140" i="15"/>
  <c r="D167" i="16"/>
  <c r="L198" i="16"/>
  <c r="D156" i="16"/>
  <c r="D35" i="16"/>
  <c r="C55" i="16"/>
  <c r="F9" i="16"/>
  <c r="C95" i="16"/>
  <c r="C97" i="16"/>
  <c r="C99" i="16"/>
  <c r="C75" i="16"/>
  <c r="D55" i="16"/>
  <c r="E35" i="16"/>
  <c r="M198" i="16"/>
  <c r="G9" i="16"/>
  <c r="C56" i="15"/>
  <c r="N198" i="16"/>
  <c r="F35" i="16"/>
  <c r="E55" i="16"/>
  <c r="D75" i="16"/>
  <c r="D95" i="16"/>
  <c r="F55" i="16"/>
  <c r="F37" i="16"/>
  <c r="G35" i="16"/>
  <c r="G52" i="16"/>
  <c r="E95" i="16"/>
  <c r="E75" i="16"/>
  <c r="E77" i="16"/>
  <c r="E57" i="16"/>
  <c r="G55" i="16"/>
  <c r="G37" i="16"/>
  <c r="F75" i="16"/>
  <c r="F95" i="16"/>
  <c r="F57" i="16"/>
  <c r="G95" i="16"/>
  <c r="G97" i="16"/>
  <c r="G75" i="16"/>
  <c r="G57" i="16"/>
  <c r="G252" i="15"/>
  <c r="G256" i="15"/>
  <c r="G251" i="15"/>
  <c r="G255" i="15"/>
  <c r="G257" i="15"/>
  <c r="G254" i="15"/>
  <c r="G253" i="15"/>
  <c r="F40" i="15"/>
  <c r="F234" i="15"/>
  <c r="E15" i="17"/>
  <c r="E132" i="17"/>
  <c r="E131" i="17"/>
  <c r="F38" i="6"/>
  <c r="F233" i="15"/>
  <c r="F31" i="5"/>
  <c r="F232" i="15"/>
  <c r="F31" i="4"/>
  <c r="F235" i="15"/>
  <c r="F162" i="15"/>
  <c r="F248" i="15"/>
  <c r="Q62" i="6"/>
  <c r="Q52" i="6"/>
  <c r="P52" i="6"/>
  <c r="O52" i="6"/>
  <c r="Q4" i="6"/>
  <c r="R42" i="6"/>
  <c r="R75" i="6"/>
  <c r="M46" i="6"/>
  <c r="M52" i="6"/>
  <c r="M56" i="6"/>
  <c r="N69" i="6"/>
  <c r="N70" i="6"/>
  <c r="O68" i="6"/>
  <c r="R4" i="6"/>
  <c r="Q79" i="6"/>
  <c r="Q77" i="6"/>
  <c r="O63" i="6"/>
  <c r="C235" i="15"/>
  <c r="G236" i="15"/>
  <c r="N34" i="1"/>
  <c r="G34" i="1"/>
  <c r="C233" i="15"/>
  <c r="C229" i="15"/>
  <c r="C234" i="15"/>
  <c r="C232" i="15"/>
  <c r="C236" i="15"/>
  <c r="M34" i="1"/>
  <c r="F34" i="1"/>
  <c r="B68" i="17"/>
  <c r="B12" i="17"/>
  <c r="G18" i="17"/>
  <c r="B283" i="16"/>
  <c r="B288" i="16"/>
  <c r="C55" i="15"/>
  <c r="D134" i="16"/>
  <c r="E165" i="15"/>
  <c r="G162" i="15"/>
  <c r="G30" i="1"/>
  <c r="G29" i="15"/>
  <c r="C29" i="15"/>
  <c r="F29" i="15"/>
  <c r="D17" i="16"/>
  <c r="D278" i="16"/>
  <c r="D6" i="1"/>
  <c r="E29" i="15"/>
  <c r="D9" i="1"/>
  <c r="D12" i="1"/>
  <c r="K123" i="15"/>
  <c r="J123" i="15"/>
  <c r="C164" i="15"/>
  <c r="C150" i="16"/>
  <c r="F168" i="15"/>
  <c r="F106" i="16"/>
  <c r="F163" i="15"/>
  <c r="F161" i="16"/>
  <c r="C163" i="15"/>
  <c r="C161" i="16"/>
  <c r="C152" i="16"/>
  <c r="C220" i="16"/>
  <c r="E106" i="16"/>
  <c r="C178" i="15"/>
  <c r="C184" i="15"/>
  <c r="D62" i="15"/>
  <c r="D15" i="4"/>
  <c r="C15" i="4"/>
  <c r="G178" i="15"/>
  <c r="G184" i="15"/>
  <c r="B141" i="16"/>
  <c r="B204" i="16"/>
  <c r="G177" i="16"/>
  <c r="F7" i="14"/>
  <c r="B39" i="16"/>
  <c r="E7" i="14"/>
  <c r="C45" i="17"/>
  <c r="C59" i="16"/>
  <c r="D99" i="16"/>
  <c r="E113" i="16"/>
  <c r="E279" i="16"/>
  <c r="E283" i="16"/>
  <c r="E288" i="16"/>
  <c r="G106" i="16"/>
  <c r="E154" i="15"/>
  <c r="E178" i="15"/>
  <c r="D17" i="15"/>
  <c r="D29" i="15"/>
  <c r="G59" i="16"/>
  <c r="G117" i="16"/>
  <c r="G118" i="16"/>
  <c r="G119" i="16"/>
  <c r="G260" i="16"/>
  <c r="C113" i="16"/>
  <c r="C279" i="16"/>
  <c r="C283" i="16"/>
  <c r="C285" i="16"/>
  <c r="E72" i="17"/>
  <c r="C18" i="17"/>
  <c r="C34" i="17"/>
  <c r="D34" i="17"/>
  <c r="B161" i="16"/>
  <c r="B152" i="16"/>
  <c r="B230" i="16"/>
  <c r="F185" i="15"/>
  <c r="F182" i="15"/>
  <c r="F184" i="15"/>
  <c r="F181" i="15"/>
  <c r="F180" i="15"/>
  <c r="F183" i="15"/>
  <c r="F179" i="15"/>
  <c r="D101" i="15"/>
  <c r="G101" i="15"/>
  <c r="C101" i="15"/>
  <c r="F101" i="15"/>
  <c r="E101" i="15"/>
  <c r="B164" i="15"/>
  <c r="B178" i="15"/>
  <c r="D178" i="15"/>
  <c r="E180" i="15"/>
  <c r="G165" i="15"/>
  <c r="G180" i="16"/>
  <c r="F154" i="15"/>
  <c r="E185" i="15"/>
  <c r="F167" i="15"/>
  <c r="F34" i="6"/>
  <c r="D202" i="15"/>
  <c r="E202" i="15"/>
  <c r="F202" i="15"/>
  <c r="B209" i="15"/>
  <c r="C140" i="15"/>
  <c r="B79" i="16"/>
  <c r="C89" i="15"/>
  <c r="C95" i="15"/>
  <c r="F62" i="15"/>
  <c r="F15" i="4"/>
  <c r="J5" i="15"/>
  <c r="K5" i="15"/>
  <c r="E62" i="15"/>
  <c r="E15" i="4"/>
  <c r="F63" i="15"/>
  <c r="B144" i="15"/>
  <c r="E89" i="15"/>
  <c r="E95" i="15"/>
  <c r="E102" i="15"/>
  <c r="D113" i="16"/>
  <c r="D279" i="16"/>
  <c r="F64" i="15"/>
  <c r="F15" i="6"/>
  <c r="B158" i="15"/>
  <c r="G89" i="15"/>
  <c r="G95" i="15"/>
  <c r="B289" i="16"/>
  <c r="D89" i="15"/>
  <c r="D95" i="15"/>
  <c r="D102" i="15"/>
  <c r="C46" i="17"/>
  <c r="D46" i="17"/>
  <c r="F113" i="16"/>
  <c r="F279" i="16"/>
  <c r="F283" i="16"/>
  <c r="F288" i="16"/>
  <c r="C79" i="16"/>
  <c r="E49" i="15"/>
  <c r="E14" i="4"/>
  <c r="F14" i="14"/>
  <c r="C6" i="14"/>
  <c r="D79" i="16"/>
  <c r="E50" i="15"/>
  <c r="E14" i="5"/>
  <c r="F49" i="15"/>
  <c r="F50" i="15"/>
  <c r="F14" i="5"/>
  <c r="E63" i="15"/>
  <c r="G60" i="15"/>
  <c r="D63" i="15"/>
  <c r="G47" i="15"/>
  <c r="G63" i="15"/>
  <c r="G14" i="14"/>
  <c r="C17" i="14"/>
  <c r="D17" i="14"/>
  <c r="E17" i="14"/>
  <c r="G113" i="16"/>
  <c r="G279" i="16"/>
  <c r="G283" i="16"/>
  <c r="B114" i="16"/>
  <c r="B136" i="16"/>
  <c r="G51" i="15"/>
  <c r="G14" i="6"/>
  <c r="D49" i="15"/>
  <c r="D50" i="15"/>
  <c r="D14" i="5"/>
  <c r="F51" i="15"/>
  <c r="F14" i="6"/>
  <c r="G62" i="15"/>
  <c r="G15" i="4"/>
  <c r="G49" i="15"/>
  <c r="G14" i="4"/>
  <c r="G64" i="15"/>
  <c r="G15" i="6"/>
  <c r="E14" i="14"/>
  <c r="F17" i="14"/>
  <c r="G17" i="14"/>
  <c r="F90" i="15"/>
  <c r="D90" i="15"/>
  <c r="G90" i="15"/>
  <c r="G96" i="15"/>
  <c r="E90" i="15"/>
  <c r="C90" i="15"/>
  <c r="C96" i="15"/>
  <c r="C12" i="1"/>
  <c r="C10" i="1"/>
  <c r="C11" i="1"/>
  <c r="F91" i="15"/>
  <c r="F97" i="15"/>
  <c r="G91" i="15"/>
  <c r="G97" i="15"/>
  <c r="C91" i="15"/>
  <c r="C97" i="15"/>
  <c r="E91" i="15"/>
  <c r="E97" i="15"/>
  <c r="G10" i="1"/>
  <c r="G11" i="1"/>
  <c r="G12" i="1"/>
  <c r="C15" i="5"/>
  <c r="G104" i="15"/>
  <c r="C104" i="15"/>
  <c r="F104" i="15"/>
  <c r="E104" i="15"/>
  <c r="D104" i="15"/>
  <c r="F10" i="1"/>
  <c r="F11" i="1"/>
  <c r="F12" i="1"/>
  <c r="B99" i="16"/>
  <c r="E103" i="15"/>
  <c r="F103" i="15"/>
  <c r="G103" i="15"/>
  <c r="D103" i="15"/>
  <c r="E73" i="17"/>
  <c r="E47" i="17"/>
  <c r="E10" i="1"/>
  <c r="E11" i="1"/>
  <c r="E12" i="1"/>
  <c r="C62" i="15"/>
  <c r="E46" i="17"/>
  <c r="C14" i="14"/>
  <c r="D14" i="14"/>
  <c r="F59" i="16"/>
  <c r="F117" i="16"/>
  <c r="F118" i="16"/>
  <c r="F119" i="16"/>
  <c r="F260" i="16"/>
  <c r="E59" i="16"/>
  <c r="E118" i="16"/>
  <c r="E119" i="16"/>
  <c r="E260" i="16"/>
  <c r="G163" i="15"/>
  <c r="G161" i="16"/>
  <c r="G152" i="16"/>
  <c r="G164" i="15"/>
  <c r="G167" i="15"/>
  <c r="G68" i="16"/>
  <c r="G168" i="15"/>
  <c r="G166" i="15"/>
  <c r="F30" i="1"/>
  <c r="F14" i="16"/>
  <c r="F166" i="15"/>
  <c r="F165" i="15"/>
  <c r="E34" i="6"/>
  <c r="E168" i="15"/>
  <c r="E166" i="15"/>
  <c r="E162" i="15"/>
  <c r="E163" i="15"/>
  <c r="E161" i="16"/>
  <c r="E164" i="15"/>
  <c r="G14" i="16"/>
  <c r="G258" i="15"/>
  <c r="F251" i="15"/>
  <c r="F252" i="15"/>
  <c r="F253" i="15"/>
  <c r="F254" i="15"/>
  <c r="F255" i="15"/>
  <c r="F256" i="15"/>
  <c r="F257" i="15"/>
  <c r="F236" i="15"/>
  <c r="S42" i="6"/>
  <c r="S75" i="6"/>
  <c r="S4" i="6"/>
  <c r="Q78" i="6"/>
  <c r="P63" i="6"/>
  <c r="O69" i="6"/>
  <c r="O70" i="6"/>
  <c r="B286" i="16"/>
  <c r="B287" i="16"/>
  <c r="D11" i="1"/>
  <c r="D6" i="14"/>
  <c r="G180" i="15"/>
  <c r="F68" i="16"/>
  <c r="G185" i="15"/>
  <c r="D106" i="16"/>
  <c r="D283" i="16"/>
  <c r="D286" i="16"/>
  <c r="B137" i="16"/>
  <c r="C183" i="15"/>
  <c r="D209" i="15"/>
  <c r="E209" i="15"/>
  <c r="F209" i="15"/>
  <c r="B210" i="15"/>
  <c r="D210" i="15"/>
  <c r="E210" i="15"/>
  <c r="F210" i="15"/>
  <c r="D10" i="1"/>
  <c r="C230" i="16"/>
  <c r="C28" i="16"/>
  <c r="D59" i="15"/>
  <c r="D69" i="15"/>
  <c r="G182" i="15"/>
  <c r="G183" i="15"/>
  <c r="G179" i="15"/>
  <c r="G181" i="15"/>
  <c r="C43" i="17"/>
  <c r="C180" i="15"/>
  <c r="C182" i="15"/>
  <c r="C179" i="15"/>
  <c r="C181" i="15"/>
  <c r="D45" i="17"/>
  <c r="E182" i="15"/>
  <c r="E181" i="15"/>
  <c r="E179" i="15"/>
  <c r="E184" i="15"/>
  <c r="E183" i="15"/>
  <c r="D167" i="15"/>
  <c r="D34" i="6"/>
  <c r="D19" i="14"/>
  <c r="D163" i="15"/>
  <c r="D161" i="16"/>
  <c r="D164" i="15"/>
  <c r="B220" i="16"/>
  <c r="B199" i="16"/>
  <c r="B200" i="16"/>
  <c r="D43" i="17"/>
  <c r="B166" i="15"/>
  <c r="D183" i="15"/>
  <c r="D182" i="15"/>
  <c r="D180" i="15"/>
  <c r="D179" i="15"/>
  <c r="D184" i="15"/>
  <c r="D181" i="15"/>
  <c r="F191" i="15"/>
  <c r="F177" i="15"/>
  <c r="B181" i="15"/>
  <c r="B183" i="15"/>
  <c r="B180" i="15"/>
  <c r="B182" i="15"/>
  <c r="B179" i="15"/>
  <c r="B184" i="15"/>
  <c r="B165" i="15"/>
  <c r="B167" i="15"/>
  <c r="C286" i="16"/>
  <c r="F99" i="15"/>
  <c r="G287" i="16"/>
  <c r="B221" i="16"/>
  <c r="G286" i="16"/>
  <c r="B207" i="16"/>
  <c r="B211" i="16"/>
  <c r="B216" i="16"/>
  <c r="F287" i="16"/>
  <c r="D99" i="15"/>
  <c r="D285" i="16"/>
  <c r="F59" i="15"/>
  <c r="F69" i="15"/>
  <c r="G289" i="16"/>
  <c r="F286" i="16"/>
  <c r="G285" i="16"/>
  <c r="F285" i="16"/>
  <c r="G288" i="16"/>
  <c r="F289" i="16"/>
  <c r="F16" i="4"/>
  <c r="F15" i="5"/>
  <c r="E46" i="15"/>
  <c r="E99" i="15"/>
  <c r="G59" i="15"/>
  <c r="D46" i="15"/>
  <c r="D14" i="4"/>
  <c r="C14" i="4"/>
  <c r="G46" i="15"/>
  <c r="E59" i="15"/>
  <c r="E16" i="4"/>
  <c r="E15" i="5"/>
  <c r="D16" i="4"/>
  <c r="C16" i="4"/>
  <c r="D15" i="5"/>
  <c r="G16" i="4"/>
  <c r="G15" i="5"/>
  <c r="F46" i="15"/>
  <c r="F14" i="4"/>
  <c r="D68" i="15"/>
  <c r="G28" i="16"/>
  <c r="C287" i="16"/>
  <c r="C288" i="16"/>
  <c r="C289" i="16"/>
  <c r="F96" i="15"/>
  <c r="F93" i="15"/>
  <c r="F87" i="15"/>
  <c r="C93" i="15"/>
  <c r="C20" i="5"/>
  <c r="C102" i="15"/>
  <c r="C99" i="15"/>
  <c r="E96" i="15"/>
  <c r="E93" i="15"/>
  <c r="E87" i="15"/>
  <c r="G102" i="15"/>
  <c r="G99" i="15"/>
  <c r="G93" i="15"/>
  <c r="G20" i="6"/>
  <c r="F169" i="15"/>
  <c r="E43" i="17"/>
  <c r="D289" i="16"/>
  <c r="D288" i="16"/>
  <c r="G87" i="15"/>
  <c r="C59" i="15"/>
  <c r="D96" i="15"/>
  <c r="D93" i="15"/>
  <c r="D87" i="15"/>
  <c r="C87" i="15"/>
  <c r="E289" i="16"/>
  <c r="E287" i="16"/>
  <c r="E286" i="16"/>
  <c r="E285" i="16"/>
  <c r="G220" i="16"/>
  <c r="G34" i="6"/>
  <c r="G19" i="14"/>
  <c r="G169" i="15"/>
  <c r="G150" i="16"/>
  <c r="F28" i="16"/>
  <c r="F150" i="16"/>
  <c r="F19" i="14"/>
  <c r="E30" i="1"/>
  <c r="E169" i="15"/>
  <c r="E14" i="16"/>
  <c r="E28" i="16"/>
  <c r="E150" i="16"/>
  <c r="F258" i="15"/>
  <c r="R76" i="6"/>
  <c r="Q63" i="6"/>
  <c r="T42" i="6"/>
  <c r="T75" i="6"/>
  <c r="T4" i="6"/>
  <c r="E191" i="15"/>
  <c r="E177" i="15"/>
  <c r="E188" i="15"/>
  <c r="D287" i="16"/>
  <c r="G191" i="15"/>
  <c r="G177" i="15"/>
  <c r="G188" i="15"/>
  <c r="C128" i="15"/>
  <c r="E128" i="15"/>
  <c r="D128" i="15"/>
  <c r="D17" i="17"/>
  <c r="D109" i="17"/>
  <c r="D108" i="17"/>
  <c r="C191" i="15"/>
  <c r="C177" i="15"/>
  <c r="C188" i="15"/>
  <c r="B169" i="15"/>
  <c r="D67" i="15"/>
  <c r="D109" i="15"/>
  <c r="F67" i="15"/>
  <c r="C109" i="15"/>
  <c r="G109" i="15"/>
  <c r="E109" i="15"/>
  <c r="F109" i="15"/>
  <c r="B191" i="15"/>
  <c r="B177" i="15"/>
  <c r="D28" i="16"/>
  <c r="D150" i="16"/>
  <c r="B241" i="16"/>
  <c r="B242" i="16"/>
  <c r="B245" i="16"/>
  <c r="D191" i="15"/>
  <c r="D177" i="15"/>
  <c r="F189" i="15"/>
  <c r="F187" i="15"/>
  <c r="F188" i="15"/>
  <c r="F68" i="15"/>
  <c r="C146" i="16"/>
  <c r="B231" i="16"/>
  <c r="B232" i="16"/>
  <c r="B235" i="16"/>
  <c r="E55" i="15"/>
  <c r="E56" i="15"/>
  <c r="E54" i="15"/>
  <c r="E67" i="15"/>
  <c r="E69" i="15"/>
  <c r="E71" i="15"/>
  <c r="E106" i="15"/>
  <c r="E68" i="15"/>
  <c r="F56" i="15"/>
  <c r="F55" i="15"/>
  <c r="F54" i="15"/>
  <c r="G54" i="15"/>
  <c r="G55" i="15"/>
  <c r="G56" i="15"/>
  <c r="D54" i="15"/>
  <c r="D55" i="15"/>
  <c r="D56" i="15"/>
  <c r="D71" i="15"/>
  <c r="D111" i="15"/>
  <c r="D15" i="17"/>
  <c r="D132" i="17"/>
  <c r="D131" i="17"/>
  <c r="G71" i="15"/>
  <c r="G111" i="15"/>
  <c r="G15" i="17"/>
  <c r="G130" i="17"/>
  <c r="G67" i="15"/>
  <c r="G68" i="15"/>
  <c r="G69" i="15"/>
  <c r="F71" i="15"/>
  <c r="F111" i="15"/>
  <c r="F15" i="17"/>
  <c r="F130" i="17"/>
  <c r="E178" i="16"/>
  <c r="E167" i="16"/>
  <c r="E156" i="16"/>
  <c r="E20" i="4"/>
  <c r="E20" i="5"/>
  <c r="E146" i="16"/>
  <c r="E20" i="6"/>
  <c r="E149" i="16"/>
  <c r="C145" i="16"/>
  <c r="C144" i="16"/>
  <c r="C205" i="16"/>
  <c r="C148" i="16"/>
  <c r="C19" i="4"/>
  <c r="C19" i="6"/>
  <c r="C19" i="5"/>
  <c r="E176" i="16"/>
  <c r="E154" i="16"/>
  <c r="E165" i="16"/>
  <c r="E19" i="4"/>
  <c r="E148" i="16"/>
  <c r="E145" i="16"/>
  <c r="E19" i="6"/>
  <c r="E19" i="5"/>
  <c r="C20" i="6"/>
  <c r="C20" i="4"/>
  <c r="C149" i="16"/>
  <c r="D165" i="16"/>
  <c r="D163" i="16"/>
  <c r="D230" i="16"/>
  <c r="D154" i="16"/>
  <c r="D152" i="16"/>
  <c r="D220" i="16"/>
  <c r="D19" i="6"/>
  <c r="D19" i="4"/>
  <c r="D19" i="5"/>
  <c r="D145" i="16"/>
  <c r="D148" i="16"/>
  <c r="F176" i="16"/>
  <c r="F154" i="16"/>
  <c r="F19" i="4"/>
  <c r="F19" i="5"/>
  <c r="F19" i="6"/>
  <c r="F145" i="16"/>
  <c r="F148" i="16"/>
  <c r="F165" i="16"/>
  <c r="D20" i="6"/>
  <c r="D20" i="5"/>
  <c r="D20" i="4"/>
  <c r="D149" i="16"/>
  <c r="D146" i="16"/>
  <c r="C71" i="15"/>
  <c r="C111" i="15"/>
  <c r="C15" i="17"/>
  <c r="C132" i="17"/>
  <c r="C131" i="17"/>
  <c r="C67" i="15"/>
  <c r="C68" i="15"/>
  <c r="C69" i="15"/>
  <c r="G176" i="16"/>
  <c r="G19" i="4"/>
  <c r="G165" i="16"/>
  <c r="G148" i="16"/>
  <c r="G19" i="6"/>
  <c r="G19" i="5"/>
  <c r="G145" i="16"/>
  <c r="G178" i="16"/>
  <c r="G20" i="5"/>
  <c r="G20" i="4"/>
  <c r="G146" i="16"/>
  <c r="G149" i="16"/>
  <c r="G167" i="16"/>
  <c r="F178" i="16"/>
  <c r="F156" i="16"/>
  <c r="F20" i="5"/>
  <c r="F20" i="4"/>
  <c r="F20" i="6"/>
  <c r="F146" i="16"/>
  <c r="F167" i="16"/>
  <c r="F149" i="16"/>
  <c r="B222" i="16"/>
  <c r="B225" i="16"/>
  <c r="B217" i="16"/>
  <c r="B212" i="16"/>
  <c r="B295" i="16"/>
  <c r="B296" i="16"/>
  <c r="E266" i="16"/>
  <c r="E134" i="16"/>
  <c r="E19" i="14"/>
  <c r="U42" i="6"/>
  <c r="U75" i="6"/>
  <c r="U4" i="6"/>
  <c r="R79" i="6"/>
  <c r="R77" i="6"/>
  <c r="C31" i="4"/>
  <c r="C34" i="1"/>
  <c r="C31" i="5"/>
  <c r="J34" i="1"/>
  <c r="D31" i="4"/>
  <c r="K34" i="1"/>
  <c r="D34" i="1"/>
  <c r="D31" i="5"/>
  <c r="E189" i="15"/>
  <c r="E187" i="15"/>
  <c r="C189" i="15"/>
  <c r="G189" i="15"/>
  <c r="E17" i="17"/>
  <c r="E109" i="17"/>
  <c r="E108" i="17"/>
  <c r="C17" i="17"/>
  <c r="G187" i="15"/>
  <c r="G190" i="15"/>
  <c r="G192" i="15"/>
  <c r="G36" i="6"/>
  <c r="C187" i="15"/>
  <c r="E111" i="15"/>
  <c r="F190" i="15"/>
  <c r="E147" i="16"/>
  <c r="E206" i="16"/>
  <c r="G144" i="16"/>
  <c r="G205" i="16"/>
  <c r="F120" i="15"/>
  <c r="F115" i="15"/>
  <c r="F127" i="15"/>
  <c r="G120" i="15"/>
  <c r="G115" i="15"/>
  <c r="G127" i="15"/>
  <c r="D189" i="15"/>
  <c r="D187" i="15"/>
  <c r="D188" i="15"/>
  <c r="D106" i="15"/>
  <c r="C106" i="15"/>
  <c r="E152" i="16"/>
  <c r="E220" i="16"/>
  <c r="E11" i="14"/>
  <c r="G18" i="5"/>
  <c r="E174" i="16"/>
  <c r="E240" i="16"/>
  <c r="E18" i="4"/>
  <c r="E144" i="16"/>
  <c r="E205" i="16"/>
  <c r="D12" i="14"/>
  <c r="G163" i="16"/>
  <c r="G230" i="16"/>
  <c r="C147" i="16"/>
  <c r="C206" i="16"/>
  <c r="C203" i="16"/>
  <c r="E84" i="15"/>
  <c r="E75" i="15"/>
  <c r="E16" i="5"/>
  <c r="E80" i="15"/>
  <c r="E72" i="15"/>
  <c r="E74" i="15"/>
  <c r="E82" i="15"/>
  <c r="E79" i="15"/>
  <c r="E73" i="15"/>
  <c r="E77" i="15"/>
  <c r="E186" i="16"/>
  <c r="E185" i="16"/>
  <c r="E76" i="15"/>
  <c r="E16" i="6"/>
  <c r="E81" i="15"/>
  <c r="F76" i="15"/>
  <c r="F77" i="15"/>
  <c r="G77" i="15"/>
  <c r="G76" i="15"/>
  <c r="D76" i="15"/>
  <c r="D16" i="6"/>
  <c r="D80" i="15"/>
  <c r="D84" i="15"/>
  <c r="D186" i="16"/>
  <c r="D185" i="16"/>
  <c r="D81" i="15"/>
  <c r="D73" i="15"/>
  <c r="D74" i="15"/>
  <c r="D178" i="16"/>
  <c r="D174" i="16"/>
  <c r="D82" i="15"/>
  <c r="D72" i="15"/>
  <c r="D75" i="15"/>
  <c r="D16" i="5"/>
  <c r="D77" i="15"/>
  <c r="D79" i="15"/>
  <c r="F12" i="14"/>
  <c r="G12" i="14"/>
  <c r="G174" i="16"/>
  <c r="G240" i="16"/>
  <c r="C186" i="16"/>
  <c r="C185" i="16"/>
  <c r="C79" i="15"/>
  <c r="C84" i="15"/>
  <c r="C77" i="15"/>
  <c r="C72" i="15"/>
  <c r="C82" i="15"/>
  <c r="C73" i="15"/>
  <c r="C75" i="15"/>
  <c r="C16" i="5"/>
  <c r="C80" i="15"/>
  <c r="C81" i="15"/>
  <c r="C76" i="15"/>
  <c r="C16" i="6"/>
  <c r="C74" i="15"/>
  <c r="F163" i="16"/>
  <c r="F230" i="16"/>
  <c r="F18" i="5"/>
  <c r="D147" i="16"/>
  <c r="D206" i="16"/>
  <c r="D18" i="4"/>
  <c r="D11" i="14"/>
  <c r="E18" i="5"/>
  <c r="C39" i="6"/>
  <c r="G18" i="4"/>
  <c r="G11" i="14"/>
  <c r="G147" i="16"/>
  <c r="G206" i="16"/>
  <c r="F147" i="16"/>
  <c r="F206" i="16"/>
  <c r="F18" i="4"/>
  <c r="F11" i="14"/>
  <c r="D144" i="16"/>
  <c r="D39" i="6"/>
  <c r="C12" i="14"/>
  <c r="E163" i="16"/>
  <c r="E230" i="16"/>
  <c r="C18" i="4"/>
  <c r="C11" i="14"/>
  <c r="E12" i="14"/>
  <c r="F144" i="16"/>
  <c r="F205" i="16"/>
  <c r="F152" i="16"/>
  <c r="F220" i="16"/>
  <c r="D18" i="5"/>
  <c r="C18" i="5"/>
  <c r="F174" i="16"/>
  <c r="F240" i="16"/>
  <c r="E107" i="15"/>
  <c r="E108" i="15"/>
  <c r="B247" i="16"/>
  <c r="B237" i="16"/>
  <c r="B226" i="16"/>
  <c r="F69" i="16"/>
  <c r="F65" i="16"/>
  <c r="F192" i="15"/>
  <c r="F36" i="6"/>
  <c r="R78" i="6"/>
  <c r="V42" i="6"/>
  <c r="V75" i="6"/>
  <c r="V4" i="6"/>
  <c r="E31" i="5"/>
  <c r="E31" i="4"/>
  <c r="L34" i="1"/>
  <c r="E34" i="1"/>
  <c r="E190" i="15"/>
  <c r="E15" i="16"/>
  <c r="E33" i="1"/>
  <c r="C190" i="15"/>
  <c r="C107" i="15"/>
  <c r="C108" i="15"/>
  <c r="G203" i="16"/>
  <c r="E89" i="16"/>
  <c r="E85" i="16"/>
  <c r="E92" i="16"/>
  <c r="E99" i="16"/>
  <c r="E130" i="16"/>
  <c r="E131" i="16"/>
  <c r="E272" i="16"/>
  <c r="C29" i="16"/>
  <c r="F15" i="16"/>
  <c r="F33" i="1"/>
  <c r="F29" i="16"/>
  <c r="E69" i="16"/>
  <c r="E65" i="16"/>
  <c r="E9" i="6"/>
  <c r="E29" i="16"/>
  <c r="E25" i="16"/>
  <c r="E32" i="16"/>
  <c r="E39" i="16"/>
  <c r="E110" i="16"/>
  <c r="E111" i="16"/>
  <c r="E112" i="16"/>
  <c r="F89" i="16"/>
  <c r="F85" i="16"/>
  <c r="F92" i="16"/>
  <c r="F99" i="16"/>
  <c r="F130" i="16"/>
  <c r="F131" i="16"/>
  <c r="F272" i="16"/>
  <c r="D107" i="15"/>
  <c r="D108" i="15"/>
  <c r="G125" i="15"/>
  <c r="G123" i="15"/>
  <c r="G124" i="15"/>
  <c r="G126" i="15"/>
  <c r="F125" i="15"/>
  <c r="F123" i="15"/>
  <c r="F124" i="15"/>
  <c r="F126" i="15"/>
  <c r="F9" i="6"/>
  <c r="F72" i="16"/>
  <c r="F79" i="16"/>
  <c r="F123" i="16"/>
  <c r="F124" i="16"/>
  <c r="F125" i="16"/>
  <c r="C25" i="16"/>
  <c r="C32" i="16"/>
  <c r="C39" i="16"/>
  <c r="C110" i="16"/>
  <c r="C111" i="16"/>
  <c r="C112" i="16"/>
  <c r="G69" i="16"/>
  <c r="G65" i="16"/>
  <c r="G15" i="16"/>
  <c r="G33" i="1"/>
  <c r="G29" i="16"/>
  <c r="G89" i="16"/>
  <c r="G85" i="16"/>
  <c r="G92" i="16"/>
  <c r="G99" i="16"/>
  <c r="G130" i="16"/>
  <c r="G131" i="16"/>
  <c r="G272" i="16"/>
  <c r="D190" i="15"/>
  <c r="E200" i="16"/>
  <c r="F203" i="16"/>
  <c r="E199" i="16"/>
  <c r="E241" i="16"/>
  <c r="E242" i="16"/>
  <c r="E231" i="16"/>
  <c r="E232" i="16"/>
  <c r="E13" i="16"/>
  <c r="E35" i="1"/>
  <c r="E221" i="16"/>
  <c r="E222" i="16"/>
  <c r="E207" i="16"/>
  <c r="E211" i="16"/>
  <c r="D231" i="16"/>
  <c r="D232" i="16"/>
  <c r="D235" i="16"/>
  <c r="D236" i="16"/>
  <c r="D237" i="16"/>
  <c r="D207" i="16"/>
  <c r="D221" i="16"/>
  <c r="D222" i="16"/>
  <c r="D13" i="16"/>
  <c r="D35" i="1"/>
  <c r="D205" i="16"/>
  <c r="D200" i="16"/>
  <c r="D199" i="16"/>
  <c r="D241" i="16"/>
  <c r="D242" i="16"/>
  <c r="D245" i="16"/>
  <c r="D246" i="16"/>
  <c r="D247" i="16"/>
  <c r="C207" i="16"/>
  <c r="C13" i="16"/>
  <c r="C35" i="1"/>
  <c r="C231" i="16"/>
  <c r="C232" i="16"/>
  <c r="C235" i="16"/>
  <c r="C221" i="16"/>
  <c r="C222" i="16"/>
  <c r="C225" i="16"/>
  <c r="C199" i="16"/>
  <c r="C241" i="16"/>
  <c r="C242" i="16"/>
  <c r="C245" i="16"/>
  <c r="C200" i="16"/>
  <c r="E203" i="16"/>
  <c r="B227" i="16"/>
  <c r="B249" i="16"/>
  <c r="B251" i="16"/>
  <c r="B261" i="16"/>
  <c r="F43" i="6"/>
  <c r="F39" i="6"/>
  <c r="P89" i="6"/>
  <c r="P96" i="6"/>
  <c r="P95" i="6"/>
  <c r="S76" i="6"/>
  <c r="W42" i="6"/>
  <c r="W75" i="6"/>
  <c r="W4" i="6"/>
  <c r="C110" i="15"/>
  <c r="C13" i="17"/>
  <c r="C12" i="17"/>
  <c r="F110" i="15"/>
  <c r="F14" i="17"/>
  <c r="F13" i="17"/>
  <c r="G13" i="17"/>
  <c r="F29" i="4"/>
  <c r="F29" i="5"/>
  <c r="F32" i="1"/>
  <c r="E110" i="15"/>
  <c r="E14" i="17"/>
  <c r="E13" i="17"/>
  <c r="E12" i="17"/>
  <c r="E29" i="4"/>
  <c r="L32" i="1"/>
  <c r="E29" i="5"/>
  <c r="E32" i="1"/>
  <c r="E36" i="1"/>
  <c r="E38" i="1"/>
  <c r="E39" i="1"/>
  <c r="G110" i="15"/>
  <c r="G14" i="17"/>
  <c r="G29" i="4"/>
  <c r="G29" i="5"/>
  <c r="G32" i="1"/>
  <c r="C15" i="16"/>
  <c r="C33" i="1"/>
  <c r="F32" i="5"/>
  <c r="F34" i="5"/>
  <c r="F35" i="5"/>
  <c r="F25" i="16"/>
  <c r="F32" i="16"/>
  <c r="F39" i="16"/>
  <c r="F110" i="16"/>
  <c r="F111" i="16"/>
  <c r="F112" i="16"/>
  <c r="F114" i="16"/>
  <c r="G128" i="15"/>
  <c r="F128" i="15"/>
  <c r="E72" i="16"/>
  <c r="E79" i="16"/>
  <c r="E125" i="16"/>
  <c r="E32" i="5"/>
  <c r="E34" i="5"/>
  <c r="E35" i="5"/>
  <c r="E84" i="17"/>
  <c r="E294" i="16"/>
  <c r="E114" i="16"/>
  <c r="G25" i="16"/>
  <c r="G32" i="16"/>
  <c r="G39" i="16"/>
  <c r="G110" i="16"/>
  <c r="G111" i="16"/>
  <c r="G112" i="16"/>
  <c r="C294" i="16"/>
  <c r="C114" i="16"/>
  <c r="E6" i="14"/>
  <c r="E39" i="6"/>
  <c r="F266" i="16"/>
  <c r="F134" i="16"/>
  <c r="F6" i="14"/>
  <c r="D29" i="16"/>
  <c r="D15" i="16"/>
  <c r="D33" i="1"/>
  <c r="G9" i="6"/>
  <c r="G39" i="6"/>
  <c r="G72" i="16"/>
  <c r="G79" i="16"/>
  <c r="G123" i="16"/>
  <c r="G124" i="16"/>
  <c r="G125" i="16"/>
  <c r="D267" i="16"/>
  <c r="E10" i="16"/>
  <c r="E18" i="16"/>
  <c r="E103" i="16"/>
  <c r="E104" i="16"/>
  <c r="E105" i="16"/>
  <c r="D210" i="16"/>
  <c r="D209" i="16"/>
  <c r="D208" i="16"/>
  <c r="E209" i="16"/>
  <c r="E208" i="16"/>
  <c r="E210" i="16"/>
  <c r="C10" i="16"/>
  <c r="C18" i="16"/>
  <c r="C103" i="16"/>
  <c r="C104" i="16"/>
  <c r="C105" i="16"/>
  <c r="C247" i="16"/>
  <c r="E245" i="16"/>
  <c r="C208" i="16"/>
  <c r="C209" i="16"/>
  <c r="C210" i="16"/>
  <c r="C211" i="16"/>
  <c r="C216" i="16"/>
  <c r="E216" i="16"/>
  <c r="E213" i="16"/>
  <c r="E215" i="16"/>
  <c r="E214" i="16"/>
  <c r="C226" i="16"/>
  <c r="D225" i="16"/>
  <c r="C237" i="16"/>
  <c r="E235" i="16"/>
  <c r="D203" i="16"/>
  <c r="D211" i="16"/>
  <c r="B254" i="16"/>
  <c r="B257" i="16"/>
  <c r="G40" i="6"/>
  <c r="G41" i="6"/>
  <c r="F40" i="6"/>
  <c r="F41" i="6"/>
  <c r="F45" i="6"/>
  <c r="F44" i="6"/>
  <c r="X42" i="6"/>
  <c r="X75" i="6"/>
  <c r="X4" i="6"/>
  <c r="S77" i="6"/>
  <c r="S79" i="6"/>
  <c r="P98" i="6"/>
  <c r="F12" i="17"/>
  <c r="G12" i="17"/>
  <c r="D110" i="15"/>
  <c r="D14" i="17"/>
  <c r="D13" i="17"/>
  <c r="D12" i="17"/>
  <c r="D29" i="5"/>
  <c r="D32" i="1"/>
  <c r="D36" i="1"/>
  <c r="D38" i="1"/>
  <c r="D39" i="1"/>
  <c r="D29" i="4"/>
  <c r="K32" i="1"/>
  <c r="C29" i="5"/>
  <c r="C32" i="5"/>
  <c r="C34" i="5"/>
  <c r="C35" i="5"/>
  <c r="C84" i="17"/>
  <c r="C32" i="1"/>
  <c r="C36" i="1"/>
  <c r="C38" i="1"/>
  <c r="C39" i="1"/>
  <c r="J32" i="1"/>
  <c r="C29" i="4"/>
  <c r="F294" i="16"/>
  <c r="F21" i="14"/>
  <c r="E21" i="14"/>
  <c r="D10" i="16"/>
  <c r="D18" i="16"/>
  <c r="D103" i="16"/>
  <c r="D104" i="16"/>
  <c r="D105" i="16"/>
  <c r="D107" i="16"/>
  <c r="G32" i="5"/>
  <c r="G34" i="5"/>
  <c r="G35" i="5"/>
  <c r="E71" i="17"/>
  <c r="E70" i="17"/>
  <c r="G21" i="14"/>
  <c r="G294" i="16"/>
  <c r="G114" i="16"/>
  <c r="G266" i="16"/>
  <c r="G134" i="16"/>
  <c r="D25" i="16"/>
  <c r="D32" i="16"/>
  <c r="D39" i="16"/>
  <c r="D110" i="16"/>
  <c r="D111" i="16"/>
  <c r="D112" i="16"/>
  <c r="G6" i="14"/>
  <c r="E85" i="17"/>
  <c r="E83" i="17"/>
  <c r="E23" i="14"/>
  <c r="E32" i="4"/>
  <c r="E34" i="4"/>
  <c r="E36" i="4"/>
  <c r="E107" i="16"/>
  <c r="E136" i="16"/>
  <c r="E137" i="16"/>
  <c r="E292" i="16"/>
  <c r="D23" i="14"/>
  <c r="D216" i="16"/>
  <c r="D213" i="16"/>
  <c r="D215" i="16"/>
  <c r="E225" i="16"/>
  <c r="D226" i="16"/>
  <c r="C214" i="16"/>
  <c r="C227" i="16"/>
  <c r="C261" i="16"/>
  <c r="E217" i="16"/>
  <c r="E212" i="16"/>
  <c r="E295" i="16"/>
  <c r="E296" i="16"/>
  <c r="F245" i="16"/>
  <c r="G245" i="16"/>
  <c r="E246" i="16"/>
  <c r="E247" i="16"/>
  <c r="C217" i="16"/>
  <c r="C249" i="16"/>
  <c r="C212" i="16"/>
  <c r="C295" i="16"/>
  <c r="C296" i="16"/>
  <c r="C23" i="14"/>
  <c r="E236" i="16"/>
  <c r="F235" i="16"/>
  <c r="G235" i="16"/>
  <c r="D214" i="16"/>
  <c r="C215" i="16"/>
  <c r="C107" i="16"/>
  <c r="C136" i="16"/>
  <c r="C137" i="16"/>
  <c r="C292" i="16"/>
  <c r="C213" i="16"/>
  <c r="P97" i="6"/>
  <c r="Y42" i="6"/>
  <c r="Y75" i="6"/>
  <c r="Y4" i="6"/>
  <c r="S78" i="6"/>
  <c r="C21" i="14"/>
  <c r="C24" i="14"/>
  <c r="C32" i="4"/>
  <c r="C34" i="4"/>
  <c r="C36" i="4"/>
  <c r="C85" i="17"/>
  <c r="C83" i="17"/>
  <c r="E69" i="17"/>
  <c r="E68" i="17"/>
  <c r="E120" i="17"/>
  <c r="E24" i="14"/>
  <c r="D292" i="16"/>
  <c r="D21" i="14"/>
  <c r="D24" i="14"/>
  <c r="C71" i="17"/>
  <c r="D71" i="17"/>
  <c r="D70" i="17"/>
  <c r="D85" i="17"/>
  <c r="D32" i="4"/>
  <c r="D34" i="4"/>
  <c r="D36" i="4"/>
  <c r="D32" i="5"/>
  <c r="D34" i="5"/>
  <c r="D35" i="5"/>
  <c r="D84" i="17"/>
  <c r="D294" i="16"/>
  <c r="D114" i="16"/>
  <c r="D136" i="16"/>
  <c r="D137" i="16"/>
  <c r="C251" i="16"/>
  <c r="C254" i="16"/>
  <c r="F225" i="16"/>
  <c r="G225" i="16"/>
  <c r="E226" i="16"/>
  <c r="E237" i="16"/>
  <c r="E249" i="16"/>
  <c r="E251" i="16"/>
  <c r="E267" i="16"/>
  <c r="E268" i="16"/>
  <c r="E269" i="16"/>
  <c r="D224" i="16"/>
  <c r="D227" i="16"/>
  <c r="D217" i="16"/>
  <c r="D249" i="16"/>
  <c r="D212" i="16"/>
  <c r="D295" i="16"/>
  <c r="F84" i="15"/>
  <c r="F73" i="15"/>
  <c r="F81" i="15"/>
  <c r="F79" i="15"/>
  <c r="F74" i="15"/>
  <c r="F72" i="15"/>
  <c r="F80" i="15"/>
  <c r="F82" i="15"/>
  <c r="G84" i="15"/>
  <c r="G74" i="15"/>
  <c r="G79" i="15"/>
  <c r="G73" i="15"/>
  <c r="G72" i="15"/>
  <c r="G80" i="15"/>
  <c r="G82" i="15"/>
  <c r="G81" i="15"/>
  <c r="F106" i="15"/>
  <c r="G75" i="15"/>
  <c r="G16" i="5"/>
  <c r="F75" i="15"/>
  <c r="F16" i="5"/>
  <c r="G106" i="15"/>
  <c r="G16" i="6"/>
  <c r="G186" i="16"/>
  <c r="G185" i="16"/>
  <c r="F16" i="6"/>
  <c r="F186" i="16"/>
  <c r="F185" i="16"/>
  <c r="T76" i="6"/>
  <c r="Q89" i="6"/>
  <c r="Q96" i="6"/>
  <c r="Q95" i="6"/>
  <c r="Z42" i="6"/>
  <c r="Z75" i="6"/>
  <c r="Z4" i="6"/>
  <c r="D83" i="17"/>
  <c r="D69" i="17"/>
  <c r="D68" i="17"/>
  <c r="D120" i="17"/>
  <c r="C70" i="17"/>
  <c r="C69" i="17"/>
  <c r="C68" i="17"/>
  <c r="C120" i="17"/>
  <c r="D296" i="16"/>
  <c r="C255" i="16"/>
  <c r="C257" i="16"/>
  <c r="D251" i="16"/>
  <c r="D273" i="16"/>
  <c r="G107" i="15"/>
  <c r="G108" i="15"/>
  <c r="F107" i="15"/>
  <c r="F108" i="15"/>
  <c r="E261" i="16"/>
  <c r="E262" i="16"/>
  <c r="E263" i="16"/>
  <c r="E227" i="16"/>
  <c r="E224" i="16"/>
  <c r="E273" i="16"/>
  <c r="E274" i="16"/>
  <c r="E275" i="16"/>
  <c r="E255" i="16"/>
  <c r="E254" i="16"/>
  <c r="F199" i="16"/>
  <c r="F241" i="16"/>
  <c r="F207" i="16"/>
  <c r="F221" i="16"/>
  <c r="F231" i="16"/>
  <c r="F200" i="16"/>
  <c r="F13" i="16"/>
  <c r="F35" i="1"/>
  <c r="G199" i="16"/>
  <c r="G241" i="16"/>
  <c r="G231" i="16"/>
  <c r="G207" i="16"/>
  <c r="G221" i="16"/>
  <c r="G13" i="16"/>
  <c r="G35" i="1"/>
  <c r="G200" i="16"/>
  <c r="T77" i="6"/>
  <c r="T79" i="6"/>
  <c r="AA4" i="6"/>
  <c r="AA42" i="6"/>
  <c r="AA75" i="6"/>
  <c r="D255" i="16"/>
  <c r="D254" i="16"/>
  <c r="E257" i="16"/>
  <c r="F232" i="16"/>
  <c r="F236" i="16"/>
  <c r="G242" i="16"/>
  <c r="G246" i="16"/>
  <c r="G247" i="16"/>
  <c r="F222" i="16"/>
  <c r="F226" i="16"/>
  <c r="F10" i="16"/>
  <c r="F18" i="16"/>
  <c r="F103" i="16"/>
  <c r="F104" i="16"/>
  <c r="F105" i="16"/>
  <c r="F36" i="1"/>
  <c r="F211" i="16"/>
  <c r="F216" i="16"/>
  <c r="F209" i="16"/>
  <c r="F208" i="16"/>
  <c r="F210" i="16"/>
  <c r="G232" i="16"/>
  <c r="G236" i="16"/>
  <c r="G36" i="1"/>
  <c r="G10" i="16"/>
  <c r="G18" i="16"/>
  <c r="G103" i="16"/>
  <c r="G104" i="16"/>
  <c r="G105" i="16"/>
  <c r="G222" i="16"/>
  <c r="G226" i="16"/>
  <c r="G210" i="16"/>
  <c r="G211" i="16"/>
  <c r="G216" i="16"/>
  <c r="G208" i="16"/>
  <c r="G209" i="16"/>
  <c r="F242" i="16"/>
  <c r="F246" i="16"/>
  <c r="F247" i="16"/>
  <c r="AB4" i="6"/>
  <c r="AB42" i="6"/>
  <c r="AB75" i="6"/>
  <c r="T78" i="6"/>
  <c r="Q97" i="6"/>
  <c r="D257" i="16"/>
  <c r="F84" i="17"/>
  <c r="G84" i="17"/>
  <c r="F215" i="16"/>
  <c r="G227" i="16"/>
  <c r="G224" i="16"/>
  <c r="G261" i="16"/>
  <c r="G262" i="16"/>
  <c r="G263" i="16"/>
  <c r="F85" i="17"/>
  <c r="F23" i="14"/>
  <c r="F24" i="14"/>
  <c r="F32" i="4"/>
  <c r="F34" i="4"/>
  <c r="F36" i="4"/>
  <c r="G292" i="16"/>
  <c r="G107" i="16"/>
  <c r="G136" i="16"/>
  <c r="G137" i="16"/>
  <c r="F292" i="16"/>
  <c r="F107" i="16"/>
  <c r="F136" i="16"/>
  <c r="F137" i="16"/>
  <c r="G214" i="16"/>
  <c r="G267" i="16"/>
  <c r="G268" i="16"/>
  <c r="G269" i="16"/>
  <c r="G237" i="16"/>
  <c r="G38" i="1"/>
  <c r="G39" i="1"/>
  <c r="F212" i="16"/>
  <c r="F295" i="16"/>
  <c r="F296" i="16"/>
  <c r="F217" i="16"/>
  <c r="F227" i="16"/>
  <c r="F224" i="16"/>
  <c r="F261" i="16"/>
  <c r="F262" i="16"/>
  <c r="F263" i="16"/>
  <c r="F237" i="16"/>
  <c r="F267" i="16"/>
  <c r="F268" i="16"/>
  <c r="F269" i="16"/>
  <c r="G212" i="16"/>
  <c r="G295" i="16"/>
  <c r="G296" i="16"/>
  <c r="G217" i="16"/>
  <c r="F38" i="1"/>
  <c r="F39" i="1"/>
  <c r="G32" i="4"/>
  <c r="G34" i="4"/>
  <c r="G36" i="4"/>
  <c r="G23" i="14"/>
  <c r="G24" i="14"/>
  <c r="G85" i="17"/>
  <c r="G215" i="16"/>
  <c r="G213" i="16"/>
  <c r="F213" i="16"/>
  <c r="F214" i="16"/>
  <c r="R89" i="6"/>
  <c r="R96" i="6"/>
  <c r="R95" i="6"/>
  <c r="AC42" i="6"/>
  <c r="AC75" i="6"/>
  <c r="AC4" i="6"/>
  <c r="U76" i="6"/>
  <c r="F69" i="17"/>
  <c r="F68" i="17"/>
  <c r="G249" i="16"/>
  <c r="G251" i="16"/>
  <c r="G69" i="17"/>
  <c r="F249" i="16"/>
  <c r="F251" i="16"/>
  <c r="R90" i="6"/>
  <c r="AD42" i="6"/>
  <c r="AD75" i="6"/>
  <c r="AD4" i="6"/>
  <c r="U79" i="6"/>
  <c r="U77" i="6"/>
  <c r="G68" i="17"/>
  <c r="G120" i="17"/>
  <c r="F120" i="17"/>
  <c r="G255" i="16"/>
  <c r="G254" i="16"/>
  <c r="G273" i="16"/>
  <c r="G274" i="16"/>
  <c r="G275" i="16"/>
  <c r="F255" i="16"/>
  <c r="F273" i="16"/>
  <c r="F274" i="16"/>
  <c r="F275" i="16"/>
  <c r="F254" i="16"/>
  <c r="AE4" i="6"/>
  <c r="AE42" i="6"/>
  <c r="AE75" i="6"/>
  <c r="U78" i="6"/>
  <c r="R97" i="6"/>
  <c r="S88" i="6"/>
  <c r="S91" i="6"/>
  <c r="G257" i="16"/>
  <c r="F257" i="16"/>
  <c r="S89" i="6"/>
  <c r="S96" i="6"/>
  <c r="S95" i="6"/>
  <c r="AF4" i="6"/>
  <c r="AF42" i="6"/>
  <c r="AF75" i="6"/>
  <c r="V76" i="6"/>
  <c r="V79" i="6"/>
  <c r="V77" i="6"/>
  <c r="AG42" i="6"/>
  <c r="AG75" i="6"/>
  <c r="AG4" i="6"/>
  <c r="S90" i="6"/>
  <c r="S98" i="6"/>
  <c r="S97" i="6"/>
  <c r="T88" i="6"/>
  <c r="T91" i="6"/>
  <c r="V78" i="6"/>
  <c r="T89" i="6"/>
  <c r="T96" i="6"/>
  <c r="T95" i="6"/>
  <c r="W76" i="6"/>
  <c r="W77" i="6"/>
  <c r="W79" i="6"/>
  <c r="T90" i="6"/>
  <c r="T98" i="6"/>
  <c r="W78" i="6"/>
  <c r="T97" i="6"/>
  <c r="U88" i="6"/>
  <c r="U91" i="6"/>
  <c r="X76" i="6"/>
  <c r="U89" i="6"/>
  <c r="U96" i="6"/>
  <c r="U95" i="6"/>
  <c r="U90" i="6"/>
  <c r="U98" i="6"/>
  <c r="X77" i="6"/>
  <c r="X79" i="6"/>
  <c r="X78" i="6"/>
  <c r="U97" i="6"/>
  <c r="V88" i="6"/>
  <c r="V91" i="6"/>
  <c r="Y76" i="6"/>
  <c r="V89" i="6"/>
  <c r="V96" i="6"/>
  <c r="V95" i="6"/>
  <c r="V90" i="6"/>
  <c r="V98" i="6"/>
  <c r="Y79" i="6"/>
  <c r="Y77" i="6"/>
  <c r="Y78" i="6"/>
  <c r="V97" i="6"/>
  <c r="W88" i="6"/>
  <c r="W91" i="6"/>
  <c r="Z76" i="6"/>
  <c r="W89" i="6"/>
  <c r="W96" i="6"/>
  <c r="W95" i="6"/>
  <c r="W90" i="6"/>
  <c r="W98" i="6"/>
  <c r="Z79" i="6"/>
  <c r="Z77" i="6"/>
  <c r="Z78" i="6"/>
  <c r="W97" i="6"/>
  <c r="X88" i="6"/>
  <c r="X91" i="6"/>
  <c r="AA76" i="6"/>
  <c r="X89" i="6"/>
  <c r="X96" i="6"/>
  <c r="X95" i="6"/>
  <c r="X90" i="6"/>
  <c r="X98" i="6"/>
  <c r="AA77" i="6"/>
  <c r="AA79" i="6"/>
  <c r="AA78" i="6"/>
  <c r="X97" i="6"/>
  <c r="Y88" i="6"/>
  <c r="Y91" i="6"/>
  <c r="AB76" i="6"/>
  <c r="Y89" i="6"/>
  <c r="Y96" i="6"/>
  <c r="Y95" i="6"/>
  <c r="Y90" i="6"/>
  <c r="Y98" i="6"/>
  <c r="AB77" i="6"/>
  <c r="AB79" i="6"/>
  <c r="AB78" i="6"/>
  <c r="Y97" i="6"/>
  <c r="Z88" i="6"/>
  <c r="Z91" i="6"/>
  <c r="AC76" i="6"/>
  <c r="Z89" i="6"/>
  <c r="Z96" i="6"/>
  <c r="Z95" i="6"/>
  <c r="Z90" i="6"/>
  <c r="Z98" i="6"/>
  <c r="AC79" i="6"/>
  <c r="AC77" i="6"/>
  <c r="AC78" i="6"/>
  <c r="Z97" i="6"/>
  <c r="AA88" i="6"/>
  <c r="AA91" i="6"/>
  <c r="AD76" i="6"/>
  <c r="AA89" i="6"/>
  <c r="AA96" i="6"/>
  <c r="AA95" i="6"/>
  <c r="AA90" i="6"/>
  <c r="AA98" i="6"/>
  <c r="AD79" i="6"/>
  <c r="AD77" i="6"/>
  <c r="AD78" i="6"/>
  <c r="AA97" i="6"/>
  <c r="AB88" i="6"/>
  <c r="AB91" i="6"/>
  <c r="AE76" i="6"/>
  <c r="AB89" i="6"/>
  <c r="AB96" i="6"/>
  <c r="AB95" i="6"/>
  <c r="AB90" i="6"/>
  <c r="AB98" i="6"/>
  <c r="AE77" i="6"/>
  <c r="AE79" i="6"/>
  <c r="AE78" i="6"/>
  <c r="AB97" i="6"/>
  <c r="AC88" i="6"/>
  <c r="AC91" i="6"/>
  <c r="AF76" i="6"/>
  <c r="AC89" i="6"/>
  <c r="AC96" i="6"/>
  <c r="AC95" i="6"/>
  <c r="AC90" i="6"/>
  <c r="AC98" i="6"/>
  <c r="AF77" i="6"/>
  <c r="AF79" i="6"/>
  <c r="AF78" i="6"/>
  <c r="AC97" i="6"/>
  <c r="AD88" i="6"/>
  <c r="AD91" i="6"/>
  <c r="AG76" i="6"/>
  <c r="AD89" i="6"/>
  <c r="AD96" i="6"/>
  <c r="AD95" i="6"/>
  <c r="AG79" i="6"/>
  <c r="AG77" i="6"/>
  <c r="AD90" i="6"/>
  <c r="AD98" i="6"/>
  <c r="AD97" i="6"/>
  <c r="AE88" i="6"/>
  <c r="AE91" i="6"/>
  <c r="AG78" i="6"/>
  <c r="AE89" i="6"/>
  <c r="AE96" i="6"/>
  <c r="AE95" i="6"/>
  <c r="AE90" i="6"/>
  <c r="AE98" i="6"/>
  <c r="AE97" i="6"/>
  <c r="AF88" i="6"/>
  <c r="AF91" i="6"/>
  <c r="AF89" i="6"/>
  <c r="AF96" i="6"/>
  <c r="AF95" i="6"/>
  <c r="AF90" i="6"/>
  <c r="AF98" i="6"/>
  <c r="AF97" i="6"/>
  <c r="AG88" i="6"/>
  <c r="AG91" i="6"/>
  <c r="AG89" i="6"/>
  <c r="AG96" i="6"/>
  <c r="AG95" i="6"/>
  <c r="AG90" i="6"/>
  <c r="AG98" i="6"/>
  <c r="AG97" i="6"/>
  <c r="AH88" i="6"/>
  <c r="AH91" i="6"/>
  <c r="AH95" i="6"/>
  <c r="AH89" i="6"/>
  <c r="AH96" i="6"/>
  <c r="AH98" i="6"/>
  <c r="AH90" i="6"/>
  <c r="AH97" i="6"/>
  <c r="AI88" i="6"/>
  <c r="AI91" i="6"/>
  <c r="AI95" i="6"/>
  <c r="AI89" i="6"/>
  <c r="AI96" i="6"/>
  <c r="AI98" i="6"/>
  <c r="AI90" i="6"/>
  <c r="AI97" i="6"/>
</calcChain>
</file>

<file path=xl/comments1.xml><?xml version="1.0" encoding="utf-8"?>
<comments xmlns="http://schemas.openxmlformats.org/spreadsheetml/2006/main">
  <authors>
    <author>CREPEAUX Pierre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tout mis à 0 pour 2017 étant donné que la SPL sortira en 2018.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en sortie d'échangeur. Base: scénario D (5) de l'étude de faisabilité ARMOEN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en sortie d'échangeur. Base: scénario D (5) de l'étude de faisabilité ARMOEN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20MWh fioul/an, j'ai mis 2x + (en considérant que gaz = 2x fioul en prix)
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= lorient agglo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= lorient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administration au prorata du temps d'exploitation technique (livraison + entretien)
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 xml:space="preserve">CREPEAUX Pierre:
à affiner
</t>
        </r>
      </text>
    </comment>
    <comment ref="A116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administration au prorata du temps d'exploitation technique (livraison + entretien)
</t>
        </r>
      </text>
    </comment>
    <comment ref="A123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administration au prorata du temps d'exploitation technique (livraison + entretien)
</t>
        </r>
      </text>
    </comment>
    <comment ref="E153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=manio
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en 2021 on augmente la surface de stockage avec un loyer plus grand</t>
        </r>
      </text>
    </comment>
    <comment ref="C162" authorId="0">
      <text>
        <r>
          <rPr>
            <b/>
            <sz val="9"/>
            <color indexed="81"/>
            <rFont val="Tahoma"/>
            <charset val="1"/>
          </rPr>
          <t>CREPEAUX Pierre:</t>
        </r>
        <r>
          <rPr>
            <sz val="9"/>
            <color indexed="81"/>
            <rFont val="Tahoma"/>
            <charset val="1"/>
          </rPr>
          <t xml:space="preserve">
stockage uniquement pour la ville de Lorient en 2019 et 2020</t>
        </r>
      </text>
    </comment>
    <comment ref="F177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en 2021 on augmente la surface de stockage avec un loyer plus grand</t>
        </r>
      </text>
    </comment>
  </commentList>
</comments>
</file>

<file path=xl/comments2.xml><?xml version="1.0" encoding="utf-8"?>
<comments xmlns="http://schemas.openxmlformats.org/spreadsheetml/2006/main">
  <authors>
    <author xml:space="preserve">LOMENECH </author>
    <author>CREPEAUX Pierre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LOMENECH :</t>
        </r>
        <r>
          <rPr>
            <sz val="9"/>
            <color indexed="81"/>
            <rFont val="Tahoma"/>
            <family val="2"/>
          </rPr>
          <t xml:space="preserve">
Ville de Lorient seule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mise à jour du prix du bois (hors stockage)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LOMENECH :</t>
        </r>
        <r>
          <rPr>
            <sz val="9"/>
            <color indexed="81"/>
            <rFont val="Tahoma"/>
            <family val="2"/>
          </rPr>
          <t xml:space="preserve">
dans les 23€HT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élément rajouté pour prendre en compte les frais de structure dans la vente du bois P1 lorsqu'il y a des contrats de P1 seul (exemple ville de Lorient)</t>
        </r>
      </text>
    </comment>
    <comment ref="C24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mise à jour du prix du bois (hors stockage)
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à vérifier
fait le 22/06/2017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prix du gaz HT ville de Lorient 2015, en attente marché 2018-2019</t>
        </r>
      </text>
    </comment>
    <comment ref="E120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mis le total bois + gaz (au lieu de simplement le total bois)</t>
        </r>
      </text>
    </comment>
    <comment ref="E126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mis le total bois + gaz (au lieu de seulement total bois)
</t>
        </r>
      </text>
    </comment>
    <comment ref="E132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mis le total bois + gaz (au lieu de seulement total bois)
</t>
        </r>
      </text>
    </comment>
    <comment ref="B142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formule d'indexation modifiée
</t>
        </r>
      </text>
    </comment>
    <comment ref="A150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mis dans le prix du bois</t>
        </r>
      </text>
    </comment>
    <comment ref="D154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modifié la formule de calcul de l'indexation</t>
        </r>
      </text>
    </comment>
    <comment ref="D157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modifié la formule d'indexation</t>
        </r>
      </text>
    </comment>
    <comment ref="A161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mis dans le prix du bois</t>
        </r>
      </text>
    </comment>
    <comment ref="D165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modifié le calcul de l'indexation des frais de personnel
</t>
        </r>
      </text>
    </comment>
    <comment ref="A172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mis dans le prix du bois</t>
        </r>
      </text>
    </comment>
    <comment ref="D176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j'ai modifié le calcul de l'indexation des frais de personnel
</t>
        </r>
      </text>
    </comment>
    <comment ref="A183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mis dans le prix du bois</t>
        </r>
      </text>
    </comment>
    <comment ref="C188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si le CA augmente avec intégration de la filière bois ville de Lorient, peut être faut il augmenter les honoraires de l'Expert Comptable?</t>
        </r>
      </text>
    </comment>
    <comment ref="B200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formul modifiée pour intégrer vente de chaleur R2 université
</t>
        </r>
      </text>
    </comment>
    <comment ref="C221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pourquoi 10% (chiffre 2022?)
</t>
        </r>
      </text>
    </comment>
    <comment ref="B235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que se passe-t-il si les réseaux de chaleur ne sortent pas? Il faut augmenter le prix de vente de la chaleur P1-P2 fortement?</t>
        </r>
      </text>
    </comment>
    <comment ref="B245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que se passe-t-il si les réseaux de chaleur ne sortent pas? Il faut augmenter le prix de vente de la chaleur P1-P2 fortement?</t>
        </r>
      </text>
    </comment>
    <comment ref="D261" authorId="1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cellules supprimées car début de saison de chauffe en 2020
</t>
        </r>
      </text>
    </comment>
  </commentList>
</comments>
</file>

<file path=xl/comments3.xml><?xml version="1.0" encoding="utf-8"?>
<comments xmlns="http://schemas.openxmlformats.org/spreadsheetml/2006/main">
  <authors>
    <author>utilisateur</author>
    <author>CREPEAUX Pierre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 par rapport au prévisionnel</t>
        </r>
      </text>
    </comment>
    <comment ref="A14" authorId="1">
      <text>
        <r>
          <rPr>
            <b/>
            <sz val="9"/>
            <color indexed="81"/>
            <rFont val="Tahoma"/>
            <charset val="1"/>
          </rPr>
          <t>CREPEAUX Pierre:</t>
        </r>
        <r>
          <rPr>
            <sz val="9"/>
            <color indexed="81"/>
            <rFont val="Tahoma"/>
            <charset val="1"/>
          </rPr>
          <t xml:space="preserve">
attention ne pas mettre la marge (j'ai modifié)
</t>
        </r>
      </text>
    </comment>
  </commentList>
</comments>
</file>

<file path=xl/comments4.xml><?xml version="1.0" encoding="utf-8"?>
<comments xmlns="http://schemas.openxmlformats.org/spreadsheetml/2006/main">
  <authors>
    <author>CREPEAUX Pierre</author>
  </authors>
  <commentList>
    <comment ref="L44" authorId="0">
      <text>
        <r>
          <rPr>
            <b/>
            <sz val="9"/>
            <color indexed="81"/>
            <rFont val="Tahoma"/>
            <family val="2"/>
          </rPr>
          <t>CREPEAUX Pierre:</t>
        </r>
        <r>
          <rPr>
            <sz val="9"/>
            <color indexed="81"/>
            <rFont val="Tahoma"/>
            <family val="2"/>
          </rPr>
          <t xml:space="preserve">
HT</t>
        </r>
      </text>
    </comment>
  </commentList>
</comments>
</file>

<file path=xl/sharedStrings.xml><?xml version="1.0" encoding="utf-8"?>
<sst xmlns="http://schemas.openxmlformats.org/spreadsheetml/2006/main" count="1155" uniqueCount="518">
  <si>
    <t>DONNEES TECHNICO-ECONOMIQUE PAR PROJET</t>
  </si>
  <si>
    <t>VILLE DE LORIENT</t>
  </si>
  <si>
    <t>Bois</t>
  </si>
  <si>
    <t>MWh pci/an</t>
  </si>
  <si>
    <t>Gaz</t>
  </si>
  <si>
    <t>MWh/an</t>
  </si>
  <si>
    <t>Achats - Mix énergétique (R1)</t>
  </si>
  <si>
    <t>Données technico-économiques (R2)</t>
  </si>
  <si>
    <t>Personnel</t>
  </si>
  <si>
    <t>Heures</t>
  </si>
  <si>
    <t>Livraison de bois</t>
  </si>
  <si>
    <t>Exploitation et petit entretien</t>
  </si>
  <si>
    <t>Administration</t>
  </si>
  <si>
    <t>€</t>
  </si>
  <si>
    <t>Petit entretien (matériel)</t>
  </si>
  <si>
    <t>Gros entretien et renouvellement (P3)</t>
  </si>
  <si>
    <t>GER</t>
  </si>
  <si>
    <t>Stockage du bois</t>
  </si>
  <si>
    <t>Gestion des chantiers bois</t>
  </si>
  <si>
    <t>LOCMIQUELIC</t>
  </si>
  <si>
    <t>LANESTER</t>
  </si>
  <si>
    <t>Coût total projet</t>
  </si>
  <si>
    <t>LANVEUR (Univ.)</t>
  </si>
  <si>
    <t>BUBRY</t>
  </si>
  <si>
    <t>ARZANO</t>
  </si>
  <si>
    <t>RIEC/BELON</t>
  </si>
  <si>
    <t>PLOEMEUR 2</t>
  </si>
  <si>
    <t>PLOEMEUR 1</t>
  </si>
  <si>
    <t>PLOUAY 2</t>
  </si>
  <si>
    <t>PLOUAY 1</t>
  </si>
  <si>
    <t>GLOBAL</t>
  </si>
  <si>
    <t>Communs</t>
  </si>
  <si>
    <t>F1 - Données technico-économiques</t>
  </si>
  <si>
    <t>annuités emprunt</t>
  </si>
  <si>
    <t>% maîtrise d'ouvrage déléguée</t>
  </si>
  <si>
    <t>P1 "Lorient"</t>
  </si>
  <si>
    <t>aides fond chaleur</t>
  </si>
  <si>
    <t>somme P1+P2</t>
  </si>
  <si>
    <t>agglo 2019</t>
  </si>
  <si>
    <t>Manio €/MWh</t>
  </si>
  <si>
    <t>Université €/MWh</t>
  </si>
  <si>
    <t>P1€/MWh</t>
  </si>
  <si>
    <t>P2€/MWh</t>
  </si>
  <si>
    <t>1.1 - Achats - Mix énergétique (R1)</t>
  </si>
  <si>
    <t>CV</t>
  </si>
  <si>
    <t>R1=CV sur matière première</t>
  </si>
  <si>
    <t>Ville de Lorient</t>
  </si>
  <si>
    <t>R2=CF+CV hors mat première</t>
  </si>
  <si>
    <t>ZAC du Manio</t>
  </si>
  <si>
    <t>LORIENT AGGLO</t>
  </si>
  <si>
    <t>UNIVERSITE</t>
  </si>
  <si>
    <t>Autre projet</t>
  </si>
  <si>
    <t>Total - Bois</t>
  </si>
  <si>
    <t>GAZ (en MWh/an)</t>
  </si>
  <si>
    <t>Total - Gaz</t>
  </si>
  <si>
    <t>% bois</t>
  </si>
  <si>
    <t>1.2 - Données technico-économiques (R2)</t>
  </si>
  <si>
    <t>PERSONNEL (HEURES)</t>
  </si>
  <si>
    <t>LIVRAISON DE BOIS</t>
  </si>
  <si>
    <t>coef livraison bois</t>
  </si>
  <si>
    <t>dont</t>
  </si>
  <si>
    <t>Jean Guy Bengloan (B)</t>
  </si>
  <si>
    <t>Assistant d'exploitation de chaufferies (cat.C)</t>
  </si>
  <si>
    <t>Christian Doucet (cat. C)</t>
  </si>
  <si>
    <t>EXPLOITATION ET PETIT ENTRETIEN</t>
  </si>
  <si>
    <t>coef exploitation</t>
  </si>
  <si>
    <t>ADMINISTRATION</t>
  </si>
  <si>
    <t>hypothèses</t>
  </si>
  <si>
    <t>Modification du personnel administratif :</t>
  </si>
  <si>
    <t>1h adm / 1h technique</t>
  </si>
  <si>
    <t>Coef personnel adm.</t>
  </si>
  <si>
    <t>Directeur (trice) SPL</t>
  </si>
  <si>
    <t>Corinne Perrodo (cat.C)</t>
  </si>
  <si>
    <t>Pierre Crépeaux (cat. A)</t>
  </si>
  <si>
    <t>Total - Personnel (heures)</t>
  </si>
  <si>
    <t>PERSONNEL (MS - €)</t>
  </si>
  <si>
    <t>€/h</t>
  </si>
  <si>
    <t>Total - Personnel (masse salariale)</t>
  </si>
  <si>
    <t>Frais de gestion / Administratif - 2%</t>
  </si>
  <si>
    <t>Masse salariale</t>
  </si>
  <si>
    <t>PETIT ENTRETIEN (MATERIEL)</t>
  </si>
  <si>
    <t>Total - PETIT ENTRETIEN (MATERIEL)</t>
  </si>
  <si>
    <t>1.3  - GER (P3)</t>
  </si>
  <si>
    <t>GROS ENTRETIEN ET RENOUVELLEMENT</t>
  </si>
  <si>
    <t>Total - GER</t>
  </si>
  <si>
    <t xml:space="preserve">1.4  - STOCKAGE DU BOIS </t>
  </si>
  <si>
    <t>STOCKAGE DU BOIS (m² disponibles)</t>
  </si>
  <si>
    <t>Loyer (€/m²/an)</t>
  </si>
  <si>
    <t>Total - Stockage du bois</t>
  </si>
  <si>
    <t>20 €/m²/an</t>
  </si>
  <si>
    <t xml:space="preserve">1.5  - GESTION DES CHANTIERS BOIS </t>
  </si>
  <si>
    <t xml:space="preserve">nombres d'heures de travail nécessaires </t>
  </si>
  <si>
    <t>temps par MWh produit h/MWh/an</t>
  </si>
  <si>
    <t>François Corre (cat. B)</t>
  </si>
  <si>
    <t>Coût moyen</t>
  </si>
  <si>
    <t>Total - gestion du bois (h)</t>
  </si>
  <si>
    <t>Total - gestion du bois (€)</t>
  </si>
  <si>
    <t>(en % d'ETP)</t>
  </si>
  <si>
    <t>h/MWh</t>
  </si>
  <si>
    <t>temps à consacrer pour 6000MWh</t>
  </si>
  <si>
    <t>Coût horaire 2017 chargé</t>
  </si>
  <si>
    <t>agent</t>
  </si>
  <si>
    <t>salaire annuel 2017 chargé</t>
  </si>
  <si>
    <t>nb heures travaillées</t>
  </si>
  <si>
    <t>salaire horaire chargé</t>
  </si>
  <si>
    <t>salaire chargé + charges de structure</t>
  </si>
  <si>
    <t>Jean Guy Bengloan</t>
  </si>
  <si>
    <t>François Corre</t>
  </si>
  <si>
    <t>Assistant exploitation</t>
  </si>
  <si>
    <t>Christian Doucet</t>
  </si>
  <si>
    <t>Pierre Crépeaux</t>
  </si>
  <si>
    <t>Directeur-trice SPL</t>
  </si>
  <si>
    <t>F4 - Compte d'exploitation prévisionnel</t>
  </si>
  <si>
    <t>marge de gestion</t>
  </si>
  <si>
    <t>indexation frais de personnel</t>
  </si>
  <si>
    <t xml:space="preserve"> /an</t>
  </si>
  <si>
    <t>en € courants</t>
  </si>
  <si>
    <t>Indexation</t>
  </si>
  <si>
    <t>2018/2017</t>
  </si>
  <si>
    <t>2019/2018</t>
  </si>
  <si>
    <t>2020/2019</t>
  </si>
  <si>
    <t>2021/2020</t>
  </si>
  <si>
    <t>2022/2021</t>
  </si>
  <si>
    <t>POSTES P1 seul (fourniture de bois)</t>
  </si>
  <si>
    <t>Achats</t>
  </si>
  <si>
    <t>Prix fourniture bois €/MWh pci hors stockage et Moeu</t>
  </si>
  <si>
    <t>Indexation - Prix fourniture Bois -  (filière LORIENT)</t>
  </si>
  <si>
    <t>Prix fourniture bois €/MWh pci</t>
  </si>
  <si>
    <t>achat</t>
  </si>
  <si>
    <t>inclus</t>
  </si>
  <si>
    <t>prestation de mise en œuvre</t>
  </si>
  <si>
    <t>frais de structure</t>
  </si>
  <si>
    <t>stockage</t>
  </si>
  <si>
    <t>main d'œuvre gestion chantiers</t>
  </si>
  <si>
    <t>transport</t>
  </si>
  <si>
    <t>Quantité MWh pci</t>
  </si>
  <si>
    <t>Coût total Bois (1)</t>
  </si>
  <si>
    <t>POSTES P1 (+prestations d'exploitation)</t>
  </si>
  <si>
    <t>Prix fourniture €/MWh</t>
  </si>
  <si>
    <t>Indexation - Prix fourniture GAZ - Indice xxx</t>
  </si>
  <si>
    <t>coef gaz</t>
  </si>
  <si>
    <t>Quantité MWh</t>
  </si>
  <si>
    <t>Coût total Gaz (2)</t>
  </si>
  <si>
    <t>TOTAL Achats combustibles (3 = 1+2)</t>
  </si>
  <si>
    <t>POSTE R1 - MANIO</t>
  </si>
  <si>
    <t>main d'œuvre</t>
  </si>
  <si>
    <t>Coût total Bois (4)</t>
  </si>
  <si>
    <t>Coût total Gaz (5)</t>
  </si>
  <si>
    <t>TOTAL Achats combustibles (6 = 4+5)</t>
  </si>
  <si>
    <t>POSTE R1 - UNIVERSITE</t>
  </si>
  <si>
    <t>Coût total Bois (7)</t>
  </si>
  <si>
    <t>Coût total Gaz (8)</t>
  </si>
  <si>
    <t>TOTAL Achats combustibles (9 = 7+8)</t>
  </si>
  <si>
    <t>POSTE R1 - AUTRE PROJET</t>
  </si>
  <si>
    <t>Coût total Bois (9)</t>
  </si>
  <si>
    <t>Coût total Gaz (10)</t>
  </si>
  <si>
    <t>TOTAL Achats combustibles (11 = 9+10)</t>
  </si>
  <si>
    <t>Recettes</t>
  </si>
  <si>
    <t>P1 seul - APPROVISIONNEMENT COMBUSTIBLES</t>
  </si>
  <si>
    <t>Coût €/MWh</t>
  </si>
  <si>
    <t>Marge de gestion</t>
  </si>
  <si>
    <t>Prix €/MWh (prix moyen)</t>
  </si>
  <si>
    <t>TOTAL VENTES P1 seul</t>
  </si>
  <si>
    <t>P1 (avec P2) - APPROVISIONNEMENT COMBUSTIBLES</t>
  </si>
  <si>
    <t>TOTAL VENTES P1 (avec P2)</t>
  </si>
  <si>
    <t>R1 - CONSOMMATION COMBUSTIBLES - MANIO</t>
  </si>
  <si>
    <t>Marge de gestion : 2%</t>
  </si>
  <si>
    <t>R1 - CONSOMMATION COMBUSTIBLES - UNIVERSITE</t>
  </si>
  <si>
    <t>R1 - CONSOMMATION COMBUSTIBLES - AUTRE PROJET</t>
  </si>
  <si>
    <t>TOTAL VENTES R1</t>
  </si>
  <si>
    <t>VENTES R1 + P1</t>
  </si>
  <si>
    <t>Résultat P1 + R1</t>
  </si>
  <si>
    <t>Services</t>
  </si>
  <si>
    <t>Prestations - P2 Lorient Agglomération</t>
  </si>
  <si>
    <t>Personnel livraison LA</t>
  </si>
  <si>
    <t>Indexation - Frais de personnel</t>
  </si>
  <si>
    <t>Entretien P2 LA</t>
  </si>
  <si>
    <t>Indexation - Produits et services divers</t>
  </si>
  <si>
    <t>Prestations - P2 Locmiquélic</t>
  </si>
  <si>
    <t>Personnel livraison Locmiquélic</t>
  </si>
  <si>
    <t>Entretien P2 Locmiquélic</t>
  </si>
  <si>
    <t>Prestations - P2 Lanester</t>
  </si>
  <si>
    <t>Personnel livraison Lanester</t>
  </si>
  <si>
    <t>Entretien P2 Lanester</t>
  </si>
  <si>
    <t>Ventes de chaleur - R2 - ZAC du MANIO</t>
  </si>
  <si>
    <t>Electricité</t>
  </si>
  <si>
    <t>Indexation - Elecrticité</t>
  </si>
  <si>
    <t>Assurances</t>
  </si>
  <si>
    <t>Entretien P2</t>
  </si>
  <si>
    <t>Frais financiers</t>
  </si>
  <si>
    <t>Dotations aux amortissements</t>
  </si>
  <si>
    <t>Reprise en compte de résultat</t>
  </si>
  <si>
    <t>Stockage</t>
  </si>
  <si>
    <t>Ventes de chaleur - R2 - UNIVERSITE</t>
  </si>
  <si>
    <t>Ventes de chaleur - R2 - AUTRE PROJET</t>
  </si>
  <si>
    <t>Impôts et taxes</t>
  </si>
  <si>
    <t>Indexation - LFR 2016</t>
  </si>
  <si>
    <t>CFE - forfait sans locaux</t>
  </si>
  <si>
    <t>Loyer</t>
  </si>
  <si>
    <t>Prévoir un minimum</t>
  </si>
  <si>
    <t>Indexation - frais de personnel - cumulé</t>
  </si>
  <si>
    <t>Total Services P2 + R2</t>
  </si>
  <si>
    <t>Taux frais communs (structure)</t>
  </si>
  <si>
    <t>Coûts des prestations P2 - Coûts directs</t>
  </si>
  <si>
    <t>Coûts prestations P2  Lorient agglo- coûts directs</t>
  </si>
  <si>
    <t>Coûts prestations P2  Locmiquélic - coûts directs</t>
  </si>
  <si>
    <t>Coûts prestations P2  Lanester - coûts directs</t>
  </si>
  <si>
    <t>Coûts des prestations P2 - structure</t>
  </si>
  <si>
    <t>Prix au MWh  - P2 - prix moyen</t>
  </si>
  <si>
    <t>Prix au MWh - P2 - Lorient agglomération</t>
  </si>
  <si>
    <t>Prix au MWh - P2 - Locmiquélic</t>
  </si>
  <si>
    <t>Prix au MWh - P2 - Lanester</t>
  </si>
  <si>
    <t>TOTAL VENTES P2</t>
  </si>
  <si>
    <t xml:space="preserve">Résultat P2 </t>
  </si>
  <si>
    <t>Recettes R2 - ZAC du MANIO</t>
  </si>
  <si>
    <t>Coûts prestations R2 - directs</t>
  </si>
  <si>
    <t>Coûts prestations R2 - structure</t>
  </si>
  <si>
    <t>KW souscrit</t>
  </si>
  <si>
    <t>Prix de vente au KW</t>
  </si>
  <si>
    <t>Charges à répartir</t>
  </si>
  <si>
    <t>TOTAL VENTES R2 - ZAC du MANIO</t>
  </si>
  <si>
    <t>Résultat R2 - MANIO</t>
  </si>
  <si>
    <t>Recettes R2 - UNIVERSITE</t>
  </si>
  <si>
    <t>TOTAL VENTES R2 - UNIVERSITE</t>
  </si>
  <si>
    <t>Résultat R2 - UNIVERSITE</t>
  </si>
  <si>
    <t>Recettes R2 - AUTRE PROJET</t>
  </si>
  <si>
    <t>Résultat P2 +R2</t>
  </si>
  <si>
    <t>Résultat cumulé (R1+ R2)</t>
  </si>
  <si>
    <t>Impôts sur les sociétés</t>
  </si>
  <si>
    <t>15% jusqu'à 38 000 €</t>
  </si>
  <si>
    <t>33,34% au-delà de 38 000€</t>
  </si>
  <si>
    <t>Résultat net (Résultat cumulé - IS)</t>
  </si>
  <si>
    <t>ZAC DU MANIO</t>
  </si>
  <si>
    <t>R1 - MANIO</t>
  </si>
  <si>
    <t>R2 - MANIO</t>
  </si>
  <si>
    <t>Tarifs R1 +R2 en €/Mwh en € HT</t>
  </si>
  <si>
    <t>Tarifs R1 +R2 en €/Mwh en € TTC</t>
  </si>
  <si>
    <t>R1 - UNIVERSITE</t>
  </si>
  <si>
    <t>R2 - UNIVERSITE</t>
  </si>
  <si>
    <t>Autre Projet</t>
  </si>
  <si>
    <t>R1 - Autre projet</t>
  </si>
  <si>
    <t>R2 - Autre projet</t>
  </si>
  <si>
    <t>MWH</t>
  </si>
  <si>
    <t>Prestations P1 seul</t>
  </si>
  <si>
    <t>Prestations P1 + P2</t>
  </si>
  <si>
    <t>RCU MANIO</t>
  </si>
  <si>
    <t>RCU UNIVERSITE</t>
  </si>
  <si>
    <t>RCU Autre projet</t>
  </si>
  <si>
    <t>TOTAL</t>
  </si>
  <si>
    <t>Part Prestations P1 seul</t>
  </si>
  <si>
    <t>Part Prestations P1 + P2</t>
  </si>
  <si>
    <t>P1 seul</t>
  </si>
  <si>
    <t>P1</t>
  </si>
  <si>
    <t>P2</t>
  </si>
  <si>
    <t>coef personnel</t>
  </si>
  <si>
    <t>Exploitation de chaufferie avec fourniture de bois</t>
  </si>
  <si>
    <t>BOIS produit SPL  (en MWh pci/an)</t>
  </si>
  <si>
    <t>dont achat bois</t>
  </si>
  <si>
    <t>dont broyage</t>
  </si>
  <si>
    <t>dont transport</t>
  </si>
  <si>
    <t>Entretien et exploitation (R2)</t>
  </si>
  <si>
    <t>100% du stockage = pour ville de Lorient</t>
  </si>
  <si>
    <t>Personnel administratif</t>
  </si>
  <si>
    <t xml:space="preserve">Honoraires - CAC </t>
  </si>
  <si>
    <t>Honoraires - Etudes - Avocat</t>
  </si>
  <si>
    <t>pas de stockage: uniquement bois agricole livré</t>
  </si>
  <si>
    <t>Bois livré</t>
  </si>
  <si>
    <t>Prix fourniture bois agricole livré €/MWh pci hors stockage et Moeu</t>
  </si>
  <si>
    <t>bois agricole = pas de stockage</t>
  </si>
  <si>
    <t>Mtériel de transport</t>
  </si>
  <si>
    <t>Matériel, logiciels  et fournitures</t>
  </si>
  <si>
    <t>Carburants</t>
  </si>
  <si>
    <t>Coûts des prestations P2 - Lorient Agglo - structure</t>
  </si>
  <si>
    <t>Coûts des prestations P2 - Locmiquélic - structure</t>
  </si>
  <si>
    <t>Coûts des prestations P2 - Lanester - structure</t>
  </si>
  <si>
    <t>Marge</t>
  </si>
  <si>
    <t>Facturation</t>
  </si>
  <si>
    <t>ref. à F3 Université !!</t>
  </si>
  <si>
    <t>ref. à "Autre projet" !!</t>
  </si>
  <si>
    <t>IMPRESSION :</t>
  </si>
  <si>
    <t>REALISE</t>
  </si>
  <si>
    <t>BUDGET :</t>
  </si>
  <si>
    <t>BUDGET 2019</t>
  </si>
  <si>
    <t>REVISION :</t>
  </si>
  <si>
    <t>Budget initial</t>
  </si>
  <si>
    <t>CLEFS A DATE :</t>
  </si>
  <si>
    <t>OUI</t>
  </si>
  <si>
    <t>REALISE AU :</t>
  </si>
  <si>
    <t>A</t>
  </si>
  <si>
    <t>B</t>
  </si>
  <si>
    <t>C</t>
  </si>
  <si>
    <t>D</t>
  </si>
  <si>
    <t>E</t>
  </si>
  <si>
    <t>Réalisé</t>
  </si>
  <si>
    <t>Prévisionnel 30/06/2019</t>
  </si>
  <si>
    <t>Prévisionnel 30/06/2020</t>
  </si>
  <si>
    <t>Prévisionnel 30/06/2021</t>
  </si>
  <si>
    <t>% réalisé</t>
  </si>
  <si>
    <t>Commentaires</t>
  </si>
  <si>
    <t>Comptes</t>
  </si>
  <si>
    <t>au</t>
  </si>
  <si>
    <t>Dépenses</t>
  </si>
  <si>
    <t>Charges de fonctionnement</t>
  </si>
  <si>
    <t>606300 - Fournitures entretien, petit équipement</t>
  </si>
  <si>
    <t>606400 - Fournitures administratives</t>
  </si>
  <si>
    <t>606600 - Carburant</t>
  </si>
  <si>
    <t>613520 - Location moyens informatiques</t>
  </si>
  <si>
    <t>615520 - Entretien, réparation matériel de bureau</t>
  </si>
  <si>
    <t>615550 - Entretien véhicule</t>
  </si>
  <si>
    <t>616000 - Primes d'assurance</t>
  </si>
  <si>
    <t>626100 - Affranchissements</t>
  </si>
  <si>
    <t>626200 - Téléphone</t>
  </si>
  <si>
    <t>626210 - Abonnement internet</t>
  </si>
  <si>
    <t>627800 - Prestations de services bancaires</t>
  </si>
  <si>
    <t>Communication</t>
  </si>
  <si>
    <t>623700 - Publications</t>
  </si>
  <si>
    <t>623710 - Communication</t>
  </si>
  <si>
    <t>Services extérieurs</t>
  </si>
  <si>
    <t>617000 - Etudes</t>
  </si>
  <si>
    <t>618510 - Services extérieurs divers</t>
  </si>
  <si>
    <t>621000 - Personnel extérieur</t>
  </si>
  <si>
    <t>622600 - Honoraires Commissaire aux comptes</t>
  </si>
  <si>
    <t>622610 - Honoraires comptables</t>
  </si>
  <si>
    <t>622620 - Honoraires avocat</t>
  </si>
  <si>
    <t>622700 - Frais acte et de contentieux</t>
  </si>
  <si>
    <t>Frais divers</t>
  </si>
  <si>
    <t>607010 - Achats bois (P1/R1)</t>
  </si>
  <si>
    <t>607011 - Prestations achat bois (P1/R1)</t>
  </si>
  <si>
    <t>607020 - Achats bois agricole (P1+P2)</t>
  </si>
  <si>
    <t>606101 - Achats gaz</t>
  </si>
  <si>
    <t>607030 - Achats bois granulé</t>
  </si>
  <si>
    <t>Comptes Courants d'Associés</t>
  </si>
  <si>
    <t>625111 - Frais colloques formation</t>
  </si>
  <si>
    <t>625112 - Frais travail courant</t>
  </si>
  <si>
    <t>625700 - Réceptions</t>
  </si>
  <si>
    <t xml:space="preserve">625701 - Réception Equipe </t>
  </si>
  <si>
    <t>Charges diverses</t>
  </si>
  <si>
    <t>63 - Impôts et taxes</t>
  </si>
  <si>
    <t>623800 - Divers, pourboires, dons</t>
  </si>
  <si>
    <t>628100 - Cotisations</t>
  </si>
  <si>
    <t>707100 - Vente de bois (P1)</t>
  </si>
  <si>
    <t>707100001 - Vente de Bois VILLE DE LORIENT</t>
  </si>
  <si>
    <t>707100002 - Vente de Bois LANESTER</t>
  </si>
  <si>
    <t>707100003 - Vente de Bois LOCMIQUELIC</t>
  </si>
  <si>
    <t>707100005 - Vente de Bois LANVEUR</t>
  </si>
  <si>
    <t>707100006 - Vente de Bois BUBRY</t>
  </si>
  <si>
    <t>707100007 - Vente de Bois PLOUAY 1</t>
  </si>
  <si>
    <t>707100008 - Vente de Bois PLOUAY 2</t>
  </si>
  <si>
    <t>707100009 - Vente de Bois PLOEMEUR 1</t>
  </si>
  <si>
    <t>707100010 - Vente de Bois PLOEMEUR 2</t>
  </si>
  <si>
    <t>707100011 - Vente de Bois RIEC-SUR-BELON</t>
  </si>
  <si>
    <t>707100012 - Vente de Bois ARZANO</t>
  </si>
  <si>
    <t>706100001 - Vente exploitation chaufferie seule LANESTER</t>
  </si>
  <si>
    <t>706100002 - Vente exploitation chaufferie seule LOCMIQUELIC</t>
  </si>
  <si>
    <t>706100003 - Vente exploitation chaufferie seule LANVEUR</t>
  </si>
  <si>
    <t>706100004 - Vente exploitation chaufferie seule BUBRY</t>
  </si>
  <si>
    <t>706100005 - Vente exploitation chaufferie seule PLOUAY 1</t>
  </si>
  <si>
    <t>706100006 - Vente exploitation chaufferie seule PLOUAY 2</t>
  </si>
  <si>
    <t>706100007 - Vente exploitation chaufferie seule PLOEMEUR 1</t>
  </si>
  <si>
    <t>706100008 - Vente exploitation chaufferie seule PLOEMEUR 2</t>
  </si>
  <si>
    <t>706100009 - Vente exploitation chaufferie seule RIEC-SUR-BELON</t>
  </si>
  <si>
    <t>706100010 - Vente exploitation chaufferie seule ARZANO</t>
  </si>
  <si>
    <t>707200 - Vente énergie (abonnement) (R2)</t>
  </si>
  <si>
    <t>707200001 - Vente énergie LANVEUR</t>
  </si>
  <si>
    <t>707200002 - Vente énergie BUBRY</t>
  </si>
  <si>
    <t>707200003 - Vente énergie PLOUAY 1</t>
  </si>
  <si>
    <t>707200004 - Vente énergie PLOUAY 2</t>
  </si>
  <si>
    <t>707200005 - Vente énergie PLOEMEUR 1</t>
  </si>
  <si>
    <t>707200006 - Vente énergie PLOEMEUR 2</t>
  </si>
  <si>
    <t>707200007 - Vente énergie RIEC-SUR-BELON</t>
  </si>
  <si>
    <t>707200008 - Vente énergie ARZANO</t>
  </si>
  <si>
    <t>-</t>
  </si>
  <si>
    <t>Subventions</t>
  </si>
  <si>
    <t>Autres</t>
  </si>
  <si>
    <t>708800 - Produits d'intervention</t>
  </si>
  <si>
    <t>791100 - Transferts de charges fonctionnement</t>
  </si>
  <si>
    <t>791200 - Transferts de charges formation</t>
  </si>
  <si>
    <t>Montants accords obtenus/perçus</t>
  </si>
  <si>
    <t>000000 - Financement à rechercher</t>
  </si>
  <si>
    <t>658000 - Charges diverses de gestion courante</t>
  </si>
  <si>
    <t>641200 - Congés payés</t>
  </si>
  <si>
    <t>645810 - Charges sur provisions CP</t>
  </si>
  <si>
    <t>671800 - Charges exceptionelles</t>
  </si>
  <si>
    <t>758000 - Produits de gestion courante</t>
  </si>
  <si>
    <t>768000 - Autres produits financiers</t>
  </si>
  <si>
    <t>Expert comptable</t>
  </si>
  <si>
    <t xml:space="preserve">Marge </t>
  </si>
  <si>
    <t>remplir 000000 pour que cette case soit à 0</t>
  </si>
  <si>
    <t>Dont livraison de bois</t>
  </si>
  <si>
    <t>Dont exploitation et petit entretien</t>
  </si>
  <si>
    <t>Budget CA du 28/02/2019</t>
  </si>
  <si>
    <t>à masquer, l'administration fait partie des "communs"</t>
  </si>
  <si>
    <t>607012 - Petit matériel entretien chaufferies</t>
  </si>
  <si>
    <t>marge = 2%</t>
  </si>
  <si>
    <t>achat de bois direct par Lanester 2019 et 2020</t>
  </si>
  <si>
    <t>achat de bois direct par Locmiquélic 2019 et 2020</t>
  </si>
  <si>
    <t>Autres projets</t>
  </si>
  <si>
    <t>ADMINISTRATION (exploitation)</t>
  </si>
  <si>
    <t>Gaëlle Caillet</t>
  </si>
  <si>
    <t>Yannick Le Loup</t>
  </si>
  <si>
    <t>ADMINISTRATION (Nouveaux projets)</t>
  </si>
  <si>
    <t>Gaëlle Caillet (Cat A)</t>
  </si>
  <si>
    <t>Yannick Le Loup (cat B)</t>
  </si>
  <si>
    <t>Université</t>
  </si>
  <si>
    <t>Bubry</t>
  </si>
  <si>
    <t>Plouay</t>
  </si>
  <si>
    <t>Ploemeur</t>
  </si>
  <si>
    <t>Riec</t>
  </si>
  <si>
    <t>Total - Personnel (€)</t>
  </si>
  <si>
    <t>Corinne Perrodo</t>
  </si>
  <si>
    <t>Salariés détachés - nouveaux projets</t>
  </si>
  <si>
    <t>maîtrise d'œuvre lorient - bubry - plouay - ploemeur - riec</t>
  </si>
  <si>
    <t>mise à disposition de personnel + frais de maîtrise d'œuvre</t>
  </si>
  <si>
    <t>sous total personnel exploitation (€)</t>
  </si>
  <si>
    <t>sous total personnel administration (€)</t>
  </si>
  <si>
    <t>sous total personnel chantiers bois (€)</t>
  </si>
  <si>
    <t>Salariés détachés - administration courante</t>
  </si>
  <si>
    <t>Salariés détachés - exploitation et chantiers bois</t>
  </si>
  <si>
    <t>1h administrative par heure d'exploitation</t>
  </si>
  <si>
    <t>heures d'exploitations estimées pour Locmiquélic et Lanester</t>
  </si>
  <si>
    <t>honoraires avocat</t>
  </si>
  <si>
    <t>Frais bancaires</t>
  </si>
  <si>
    <t>Corinne Perrodo (Cat C)</t>
  </si>
  <si>
    <t>Sébastien Frabolot (cat.C)</t>
  </si>
  <si>
    <t>Sébastien Frabolot (cat C)</t>
  </si>
  <si>
    <t>Michel Donnart (cat B)</t>
  </si>
  <si>
    <t>BOIS agricole  (en MWh pci/an)</t>
  </si>
  <si>
    <t>coût/MWh (livré chaufferie)</t>
  </si>
  <si>
    <t>coût €/MWh (livré chaufferie)</t>
  </si>
  <si>
    <t>à vérifier</t>
  </si>
  <si>
    <t>Total - Bois agricole</t>
  </si>
  <si>
    <t>TOTAL BOIS</t>
  </si>
  <si>
    <t>Michel Donnart</t>
  </si>
  <si>
    <t>Clefs de répartition</t>
  </si>
  <si>
    <t>consommation bois (MWh)</t>
  </si>
  <si>
    <t>% consommation de bois</t>
  </si>
  <si>
    <t>% Bois produit SPL</t>
  </si>
  <si>
    <t>Chantiers bois et stockage</t>
  </si>
  <si>
    <t>total %</t>
  </si>
  <si>
    <t xml:space="preserve">total % </t>
  </si>
  <si>
    <t>heures de maîtrise d'ouvrage des projets Lanveur, Burby, Plouay, Riec, Ploemeur</t>
  </si>
  <si>
    <t>706100 - Vente exploitation chaufferie seule  (P2)</t>
  </si>
  <si>
    <t>Vente exploitation chaufferie avec fourniture bois ( P1 + P2)</t>
  </si>
  <si>
    <t>Vente de marchandises et de services</t>
  </si>
  <si>
    <t>= 0 si uniquement Lorient</t>
  </si>
  <si>
    <t>€/MWh</t>
  </si>
  <si>
    <t>Début de période</t>
  </si>
  <si>
    <t>Fin de période</t>
  </si>
  <si>
    <t>Année</t>
  </si>
  <si>
    <t>Annuel</t>
  </si>
  <si>
    <t>Calendrier - Scénario n°1</t>
  </si>
  <si>
    <t>Date de démarrage du projet : validation du programme</t>
  </si>
  <si>
    <t>Elaboration du DCE</t>
  </si>
  <si>
    <t>Début concours Maîtrise d'œuvre</t>
  </si>
  <si>
    <t>Durée de la consultation (mois)</t>
  </si>
  <si>
    <t>Notification Maîtrise d'œuvre</t>
  </si>
  <si>
    <t>Remise de l'Avant projet détaillé</t>
  </si>
  <si>
    <t>Consultation des entreprises (mois)</t>
  </si>
  <si>
    <t>Notification des entreprises</t>
  </si>
  <si>
    <t>Date de début de construction</t>
  </si>
  <si>
    <t>Durée de la construction (mois)</t>
  </si>
  <si>
    <t>Date de fin de construction</t>
  </si>
  <si>
    <t>Date de début de la marche à blanc</t>
  </si>
  <si>
    <t>Période marche à blanc (mois)</t>
  </si>
  <si>
    <t>Date de fin de la marche à blanc</t>
  </si>
  <si>
    <t>Date de réception de l'ouvrage</t>
  </si>
  <si>
    <t>Durée de la réception (mois)</t>
  </si>
  <si>
    <t xml:space="preserve">Date de début d'exploitation </t>
  </si>
  <si>
    <t>Durée d'exploitation (mois)</t>
  </si>
  <si>
    <t xml:space="preserve">Date de fin de l'exploitation </t>
  </si>
  <si>
    <t>Indice inflation</t>
  </si>
  <si>
    <t>Indice Construction - Phase de construction et équipements</t>
  </si>
  <si>
    <t>Valorisation des investissements</t>
  </si>
  <si>
    <t>Valeur actualisée</t>
  </si>
  <si>
    <t>1 - TRAVAUX ET INVESTISSEMENTS</t>
  </si>
  <si>
    <t>Réseau UNIVERSITE</t>
  </si>
  <si>
    <t>TOTAL - TRAVAUX ET INVESTISSEMENTS</t>
  </si>
  <si>
    <t>2 - SUBVENTIONS D'EQUIPEMENT</t>
  </si>
  <si>
    <t>ADEME - FONDS CHALEUR</t>
  </si>
  <si>
    <t>SOLDE A FINANCER (3 = 1-2)</t>
  </si>
  <si>
    <t>ECHEANCIER DE REALISATION DES INVESTISSEMENTS ET DES TRAVAUX</t>
  </si>
  <si>
    <t>Versement des subventions</t>
  </si>
  <si>
    <t>Prefinancement</t>
  </si>
  <si>
    <t>Décaissements sur les projets (annuels)</t>
  </si>
  <si>
    <t>Encaissements sur les projets (annuels)</t>
  </si>
  <si>
    <t>Décaissements sur les projets (cumulés)</t>
  </si>
  <si>
    <t>Encaissements sur les projets (cumulés)</t>
  </si>
  <si>
    <t>Solde</t>
  </si>
  <si>
    <t>Frais de préfinancement</t>
  </si>
  <si>
    <t>Montants mobilisés</t>
  </si>
  <si>
    <t>Intérêts intercalaires</t>
  </si>
  <si>
    <t>Montants à financer</t>
  </si>
  <si>
    <t>Hypothèses de financement</t>
  </si>
  <si>
    <t>Financement classique- tranche principale</t>
  </si>
  <si>
    <t>Taux de financement</t>
  </si>
  <si>
    <t>CRD</t>
  </si>
  <si>
    <t>OAT 30 ans</t>
  </si>
  <si>
    <t>Garantie</t>
  </si>
  <si>
    <t>OAT 10 ans</t>
  </si>
  <si>
    <t>Capital remboursé</t>
  </si>
  <si>
    <t xml:space="preserve">Intérêts </t>
  </si>
  <si>
    <t>Risque d'évolution des taux</t>
  </si>
  <si>
    <t>Annuité</t>
  </si>
  <si>
    <t xml:space="preserve">Financement classique- tranche accessoire </t>
  </si>
  <si>
    <t>eur 12</t>
  </si>
  <si>
    <t>Emprunt bonifié dispositif croissance verte</t>
  </si>
  <si>
    <t>Tx du livret A</t>
  </si>
  <si>
    <t>Réseau Université</t>
  </si>
  <si>
    <t>durée</t>
  </si>
  <si>
    <t>Vente de chaleur (R2)</t>
  </si>
  <si>
    <t>Duréee d'amortissement (années)</t>
  </si>
  <si>
    <t>R1</t>
  </si>
  <si>
    <t>R2</t>
  </si>
  <si>
    <t>Salariés détachés - assistance administrative</t>
  </si>
  <si>
    <t>6155XX - Location véhicule</t>
  </si>
  <si>
    <t>622XXX - Frais d'établissement</t>
  </si>
  <si>
    <t>exploitation + matériel (marge = 3%)</t>
  </si>
  <si>
    <t>expert comptable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</si>
</sst>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\ _€_-;\-* #,##0.0\ _€_-;_-* &quot;-&quot;??\ _€_-;_-@_-"/>
    <numFmt numFmtId="167" formatCode="_-* #,##0.0\ _€_-;\-* #,##0.0\ _€_-;_-* &quot;-&quot;?\ _€_-;_-@_-"/>
    <numFmt numFmtId="168" formatCode="#,##0;\-#,##0;\-"/>
    <numFmt numFmtId="169" formatCode="0.00%;\-0.00%;\-"/>
    <numFmt numFmtId="170" formatCode="[$-40C]d\-mmm\-yy;@"/>
    <numFmt numFmtId="171" formatCode="_-* #,##0.00\ [$€]_-;\-* #,##0.00\ [$€]_-;_-* &quot;-&quot;??\ [$€]_-;_-@_-"/>
    <numFmt numFmtId="172" formatCode="#,##0.0000;\-#,##0.0000;\-"/>
    <numFmt numFmtId="173" formatCode="#,##0.000;\-#,##0.000;\-"/>
    <numFmt numFmtId="174" formatCode="##,##0.0&quot; € HT/MWh&quot;"/>
    <numFmt numFmtId="175" formatCode="#,###&quot; MWh&quot;"/>
    <numFmt numFmtId="176" formatCode="#,##0.00\ &quot;€&quot;"/>
    <numFmt numFmtId="177" formatCode="_-* #,##0.00\ [$€-40C]_-;\-* #,##0.00\ [$€-40C]_-;_-* &quot;-&quot;??\ [$€-40C]_-;_-@_-"/>
    <numFmt numFmtId="178" formatCode="[$-101040C]General"/>
    <numFmt numFmtId="179" formatCode="[$-40C]d\ mmmm\ yyyy;@"/>
    <numFmt numFmtId="180" formatCode="[$-101040C]#\ ##0;;#"/>
    <numFmt numFmtId="181" formatCode="_(* #,##0.00_);_(* \(#,##0.00\);_(* &quot;-&quot;??_);_(@_)"/>
    <numFmt numFmtId="182" formatCode="_(* #,##0_);_(* \(#,##0\);_(* &quot;-&quot;??_);_(@_)"/>
    <numFmt numFmtId="183" formatCode="_-* #,##0\ &quot;€&quot;_-;\-* #,##0\ &quot;€&quot;_-;_-* &quot;-&quot;??\ &quot;€&quot;_-;_-@_-"/>
    <numFmt numFmtId="184" formatCode="0.000"/>
    <numFmt numFmtId="185" formatCode="dd\-mmm\-yyyy"/>
    <numFmt numFmtId="186" formatCode="0.0%"/>
    <numFmt numFmtId="187" formatCode="#,##0\ &quot;€&quot;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22"/>
      <color rgb="FF002060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i/>
      <sz val="12"/>
      <color rgb="FF002060"/>
      <name val="Arial"/>
      <family val="2"/>
    </font>
    <font>
      <b/>
      <i/>
      <sz val="12"/>
      <color rgb="FF002060"/>
      <name val="Arial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i/>
      <sz val="10"/>
      <color rgb="FF002060"/>
      <name val="Verdana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indexed="8"/>
      <name val="Segoe UI"/>
      <family val="2"/>
    </font>
    <font>
      <b/>
      <sz val="8"/>
      <color indexed="23"/>
      <name val="Segoe UI"/>
      <family val="2"/>
    </font>
    <font>
      <b/>
      <sz val="8"/>
      <color indexed="8"/>
      <name val="Segoe UI"/>
      <family val="2"/>
    </font>
    <font>
      <b/>
      <sz val="11"/>
      <color indexed="23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b/>
      <i/>
      <sz val="14"/>
      <color indexed="9"/>
      <name val="Segoe UI"/>
      <family val="2"/>
    </font>
    <font>
      <b/>
      <i/>
      <u/>
      <sz val="12"/>
      <color indexed="44"/>
      <name val="Segoe UI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i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7030A0"/>
      <name val="Arial"/>
      <family val="2"/>
    </font>
    <font>
      <b/>
      <sz val="11"/>
      <color rgb="FF00B050"/>
      <name val="Calibri"/>
      <family val="2"/>
      <scheme val="minor"/>
    </font>
    <font>
      <i/>
      <sz val="10"/>
      <color rgb="FF7030A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</font>
    <font>
      <i/>
      <sz val="9"/>
      <color theme="1"/>
      <name val="Calibri"/>
      <family val="2"/>
      <scheme val="minor"/>
    </font>
    <font>
      <b/>
      <i/>
      <sz val="10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color indexed="12"/>
      <name val="Arial"/>
      <family val="2"/>
    </font>
    <font>
      <b/>
      <u val="singleAccounting"/>
      <sz val="10"/>
      <color indexed="12"/>
      <name val="Arial"/>
      <family val="2"/>
    </font>
    <font>
      <b/>
      <u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/>
    </xf>
    <xf numFmtId="169" fontId="9" fillId="0" borderId="0" applyFont="0" applyFill="0" applyBorder="0" applyProtection="0">
      <alignment horizontal="right"/>
    </xf>
    <xf numFmtId="169" fontId="9" fillId="0" borderId="0" applyFont="0" applyFill="0" applyBorder="0" applyProtection="0">
      <alignment horizontal="right"/>
    </xf>
    <xf numFmtId="168" fontId="9" fillId="0" borderId="0" applyFont="0" applyFill="0" applyBorder="0" applyProtection="0">
      <alignment horizontal="right"/>
    </xf>
    <xf numFmtId="169" fontId="9" fillId="6" borderId="0" applyFont="0" applyFill="0" applyBorder="0" applyProtection="0">
      <alignment horizontal="right"/>
    </xf>
    <xf numFmtId="164" fontId="9" fillId="6" borderId="0" applyFont="0" applyFill="0" applyBorder="0" applyProtection="0">
      <alignment horizontal="right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172" fontId="9" fillId="6" borderId="0" applyFont="0" applyFill="0" applyBorder="0" applyAlignment="0" applyProtection="0">
      <alignment horizontal="right"/>
    </xf>
    <xf numFmtId="172" fontId="9" fillId="6" borderId="0" applyFont="0" applyFill="0" applyBorder="0" applyAlignment="0" applyProtection="0">
      <alignment horizontal="right"/>
    </xf>
    <xf numFmtId="0" fontId="19" fillId="0" borderId="0" applyNumberFormat="0" applyFill="0" applyBorder="0" applyProtection="0"/>
    <xf numFmtId="0" fontId="20" fillId="6" borderId="0" applyNumberFormat="0" applyFill="0" applyBorder="0" applyProtection="0"/>
    <xf numFmtId="173" fontId="9" fillId="6" borderId="0">
      <alignment horizontal="left" indent="1"/>
    </xf>
    <xf numFmtId="173" fontId="11" fillId="6" borderId="0" applyNumberFormat="0" applyFill="0" applyBorder="0" applyProtection="0">
      <alignment horizontal="left"/>
    </xf>
    <xf numFmtId="0" fontId="20" fillId="7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9" fillId="0" borderId="0">
      <alignment wrapText="1"/>
    </xf>
    <xf numFmtId="9" fontId="9" fillId="0" borderId="0" applyFont="0" applyFill="0" applyBorder="0" applyAlignment="0" applyProtection="0">
      <alignment wrapText="1"/>
    </xf>
    <xf numFmtId="181" fontId="9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</cellStyleXfs>
  <cellXfs count="566">
    <xf numFmtId="0" fontId="0" fillId="0" borderId="0" xfId="0"/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0" fillId="0" borderId="0" xfId="1" applyFont="1"/>
    <xf numFmtId="14" fontId="3" fillId="0" borderId="0" xfId="1" applyNumberFormat="1" applyFont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43" fontId="0" fillId="2" borderId="0" xfId="1" applyFont="1" applyFill="1"/>
    <xf numFmtId="0" fontId="0" fillId="2" borderId="0" xfId="0" applyFill="1"/>
    <xf numFmtId="44" fontId="0" fillId="0" borderId="0" xfId="2" applyFont="1"/>
    <xf numFmtId="44" fontId="0" fillId="0" borderId="0" xfId="2" applyFont="1" applyBorder="1"/>
    <xf numFmtId="0" fontId="0" fillId="0" borderId="0" xfId="0" applyBorder="1" applyAlignment="1">
      <alignment horizontal="center"/>
    </xf>
    <xf numFmtId="0" fontId="9" fillId="0" borderId="0" xfId="3"/>
    <xf numFmtId="0" fontId="9" fillId="0" borderId="3" xfId="3" applyFont="1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9" fontId="9" fillId="0" borderId="0" xfId="3" applyNumberFormat="1"/>
    <xf numFmtId="0" fontId="9" fillId="0" borderId="7" xfId="3" applyBorder="1"/>
    <xf numFmtId="164" fontId="11" fillId="0" borderId="8" xfId="3" applyNumberFormat="1" applyFont="1" applyBorder="1" applyAlignment="1">
      <alignment horizontal="right"/>
    </xf>
    <xf numFmtId="0" fontId="9" fillId="0" borderId="4" xfId="3" applyFont="1" applyBorder="1"/>
    <xf numFmtId="0" fontId="9" fillId="0" borderId="5" xfId="3" applyFont="1" applyBorder="1"/>
    <xf numFmtId="9" fontId="0" fillId="0" borderId="6" xfId="4" applyFont="1" applyBorder="1"/>
    <xf numFmtId="43" fontId="11" fillId="0" borderId="8" xfId="3" applyNumberFormat="1" applyFont="1" applyBorder="1"/>
    <xf numFmtId="2" fontId="11" fillId="0" borderId="8" xfId="3" applyNumberFormat="1" applyFont="1" applyBorder="1" applyAlignment="1">
      <alignment horizontal="left" indent="9"/>
    </xf>
    <xf numFmtId="2" fontId="9" fillId="0" borderId="7" xfId="3" applyNumberFormat="1" applyBorder="1"/>
    <xf numFmtId="43" fontId="9" fillId="0" borderId="8" xfId="3" applyNumberFormat="1" applyBorder="1"/>
    <xf numFmtId="0" fontId="12" fillId="0" borderId="0" xfId="3" applyFont="1"/>
    <xf numFmtId="0" fontId="13" fillId="0" borderId="0" xfId="3" applyFont="1"/>
    <xf numFmtId="0" fontId="14" fillId="4" borderId="0" xfId="3" applyFont="1" applyFill="1"/>
    <xf numFmtId="0" fontId="14" fillId="0" borderId="0" xfId="3" applyFont="1"/>
    <xf numFmtId="0" fontId="15" fillId="3" borderId="9" xfId="3" applyFont="1" applyFill="1" applyBorder="1"/>
    <xf numFmtId="0" fontId="13" fillId="3" borderId="9" xfId="3" applyFont="1" applyFill="1" applyBorder="1"/>
    <xf numFmtId="0" fontId="13" fillId="0" borderId="9" xfId="3" applyFont="1" applyBorder="1"/>
    <xf numFmtId="165" fontId="13" fillId="0" borderId="9" xfId="5" applyNumberFormat="1" applyFont="1" applyBorder="1"/>
    <xf numFmtId="165" fontId="13" fillId="5" borderId="9" xfId="5" applyNumberFormat="1" applyFont="1" applyFill="1" applyBorder="1"/>
    <xf numFmtId="0" fontId="14" fillId="3" borderId="9" xfId="3" applyFont="1" applyFill="1" applyBorder="1"/>
    <xf numFmtId="165" fontId="14" fillId="3" borderId="9" xfId="3" applyNumberFormat="1" applyFont="1" applyFill="1" applyBorder="1"/>
    <xf numFmtId="0" fontId="9" fillId="0" borderId="0" xfId="3" applyFont="1"/>
    <xf numFmtId="165" fontId="14" fillId="3" borderId="10" xfId="3" applyNumberFormat="1" applyFont="1" applyFill="1" applyBorder="1"/>
    <xf numFmtId="43" fontId="13" fillId="0" borderId="9" xfId="5" applyNumberFormat="1" applyFont="1" applyBorder="1"/>
    <xf numFmtId="43" fontId="13" fillId="3" borderId="9" xfId="5" applyNumberFormat="1" applyFont="1" applyFill="1" applyBorder="1"/>
    <xf numFmtId="43" fontId="13" fillId="4" borderId="9" xfId="5" applyNumberFormat="1" applyFont="1" applyFill="1" applyBorder="1"/>
    <xf numFmtId="43" fontId="14" fillId="3" borderId="9" xfId="5" applyFont="1" applyFill="1" applyBorder="1"/>
    <xf numFmtId="43" fontId="9" fillId="0" borderId="0" xfId="3" applyNumberFormat="1"/>
    <xf numFmtId="0" fontId="15" fillId="0" borderId="9" xfId="3" applyFont="1" applyBorder="1"/>
    <xf numFmtId="0" fontId="11" fillId="4" borderId="0" xfId="3" applyFont="1" applyFill="1"/>
    <xf numFmtId="0" fontId="16" fillId="0" borderId="9" xfId="3" applyFont="1" applyBorder="1" applyAlignment="1">
      <alignment horizontal="right"/>
    </xf>
    <xf numFmtId="0" fontId="16" fillId="0" borderId="9" xfId="3" applyFont="1" applyBorder="1"/>
    <xf numFmtId="0" fontId="16" fillId="4" borderId="9" xfId="3" applyFont="1" applyFill="1" applyBorder="1"/>
    <xf numFmtId="0" fontId="14" fillId="0" borderId="9" xfId="3" applyFont="1" applyBorder="1" applyAlignment="1">
      <alignment horizontal="right"/>
    </xf>
    <xf numFmtId="164" fontId="13" fillId="0" borderId="9" xfId="3" applyNumberFormat="1" applyFont="1" applyBorder="1"/>
    <xf numFmtId="43" fontId="13" fillId="0" borderId="9" xfId="5" applyFont="1" applyBorder="1"/>
    <xf numFmtId="44" fontId="16" fillId="0" borderId="9" xfId="3" applyNumberFormat="1" applyFont="1" applyBorder="1"/>
    <xf numFmtId="0" fontId="16" fillId="0" borderId="11" xfId="3" applyFont="1" applyFill="1" applyBorder="1" applyProtection="1"/>
    <xf numFmtId="0" fontId="16" fillId="0" borderId="0" xfId="3" applyFont="1" applyFill="1" applyBorder="1" applyProtection="1"/>
    <xf numFmtId="0" fontId="13" fillId="4" borderId="9" xfId="3" applyFont="1" applyFill="1" applyBorder="1"/>
    <xf numFmtId="43" fontId="14" fillId="3" borderId="9" xfId="3" applyNumberFormat="1" applyFont="1" applyFill="1" applyBorder="1"/>
    <xf numFmtId="166" fontId="13" fillId="0" borderId="9" xfId="5" applyNumberFormat="1" applyFont="1" applyBorder="1"/>
    <xf numFmtId="44" fontId="13" fillId="0" borderId="9" xfId="6" applyFont="1" applyBorder="1"/>
    <xf numFmtId="166" fontId="16" fillId="0" borderId="9" xfId="5" applyNumberFormat="1" applyFont="1" applyBorder="1"/>
    <xf numFmtId="44" fontId="16" fillId="0" borderId="9" xfId="6" applyFont="1" applyBorder="1"/>
    <xf numFmtId="166" fontId="14" fillId="3" borderId="9" xfId="3" applyNumberFormat="1" applyFont="1" applyFill="1" applyBorder="1"/>
    <xf numFmtId="166" fontId="13" fillId="0" borderId="0" xfId="3" applyNumberFormat="1" applyFont="1" applyBorder="1"/>
    <xf numFmtId="166" fontId="16" fillId="3" borderId="9" xfId="5" applyNumberFormat="1" applyFont="1" applyFill="1" applyBorder="1"/>
    <xf numFmtId="44" fontId="16" fillId="3" borderId="9" xfId="6" applyFont="1" applyFill="1" applyBorder="1"/>
    <xf numFmtId="167" fontId="9" fillId="0" borderId="0" xfId="3" applyNumberFormat="1"/>
    <xf numFmtId="0" fontId="15" fillId="3" borderId="9" xfId="3" applyFont="1" applyFill="1" applyBorder="1" applyAlignment="1">
      <alignment wrapText="1"/>
    </xf>
    <xf numFmtId="167" fontId="13" fillId="3" borderId="9" xfId="3" applyNumberFormat="1" applyFont="1" applyFill="1" applyBorder="1"/>
    <xf numFmtId="2" fontId="15" fillId="0" borderId="9" xfId="3" applyNumberFormat="1" applyFont="1" applyBorder="1"/>
    <xf numFmtId="166" fontId="15" fillId="0" borderId="9" xfId="3" applyNumberFormat="1" applyFont="1" applyBorder="1"/>
    <xf numFmtId="165" fontId="15" fillId="0" borderId="9" xfId="3" applyNumberFormat="1" applyFont="1" applyBorder="1"/>
    <xf numFmtId="164" fontId="16" fillId="0" borderId="9" xfId="3" applyNumberFormat="1" applyFont="1" applyBorder="1" applyAlignment="1">
      <alignment horizontal="right"/>
    </xf>
    <xf numFmtId="44" fontId="15" fillId="0" borderId="9" xfId="6" applyFont="1" applyBorder="1"/>
    <xf numFmtId="166" fontId="14" fillId="3" borderId="0" xfId="3" applyNumberFormat="1" applyFont="1" applyFill="1" applyBorder="1"/>
    <xf numFmtId="44" fontId="14" fillId="3" borderId="0" xfId="6" applyFont="1" applyFill="1" applyBorder="1"/>
    <xf numFmtId="0" fontId="16" fillId="0" borderId="0" xfId="3" applyFont="1" applyFill="1" applyBorder="1" applyAlignment="1">
      <alignment horizontal="right"/>
    </xf>
    <xf numFmtId="9" fontId="11" fillId="4" borderId="0" xfId="3" applyNumberFormat="1" applyFont="1" applyFill="1"/>
    <xf numFmtId="9" fontId="11" fillId="4" borderId="0" xfId="4" applyFont="1" applyFill="1"/>
    <xf numFmtId="0" fontId="9" fillId="0" borderId="0" xfId="3" applyAlignment="1">
      <alignment wrapText="1"/>
    </xf>
    <xf numFmtId="0" fontId="9" fillId="0" borderId="0" xfId="3" applyFont="1" applyAlignment="1">
      <alignment wrapText="1"/>
    </xf>
    <xf numFmtId="44" fontId="9" fillId="0" borderId="0" xfId="3" applyNumberFormat="1"/>
    <xf numFmtId="0" fontId="11" fillId="4" borderId="12" xfId="3" applyFont="1" applyFill="1" applyBorder="1"/>
    <xf numFmtId="9" fontId="11" fillId="4" borderId="12" xfId="4" applyFont="1" applyFill="1" applyBorder="1"/>
    <xf numFmtId="0" fontId="9" fillId="5" borderId="0" xfId="3" applyFill="1"/>
    <xf numFmtId="0" fontId="9" fillId="0" borderId="0" xfId="3" applyNumberFormat="1"/>
    <xf numFmtId="0" fontId="11" fillId="4" borderId="13" xfId="3" applyFont="1" applyFill="1" applyBorder="1"/>
    <xf numFmtId="9" fontId="11" fillId="4" borderId="14" xfId="4" applyFont="1" applyFill="1" applyBorder="1"/>
    <xf numFmtId="0" fontId="23" fillId="5" borderId="0" xfId="3" applyFont="1" applyFill="1"/>
    <xf numFmtId="0" fontId="24" fillId="0" borderId="15" xfId="3" applyFont="1" applyBorder="1" applyAlignment="1">
      <alignment horizontal="center" vertical="center"/>
    </xf>
    <xf numFmtId="0" fontId="24" fillId="0" borderId="16" xfId="3" applyFont="1" applyBorder="1" applyAlignment="1">
      <alignment horizontal="center" vertical="center"/>
    </xf>
    <xf numFmtId="0" fontId="24" fillId="0" borderId="17" xfId="3" applyFont="1" applyBorder="1" applyAlignment="1">
      <alignment horizontal="center" vertical="center"/>
    </xf>
    <xf numFmtId="0" fontId="23" fillId="0" borderId="0" xfId="3" applyFont="1"/>
    <xf numFmtId="0" fontId="24" fillId="0" borderId="0" xfId="3" applyFont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25" fillId="0" borderId="18" xfId="3" applyFont="1" applyFill="1" applyBorder="1" applyAlignment="1">
      <alignment vertical="center"/>
    </xf>
    <xf numFmtId="0" fontId="13" fillId="0" borderId="19" xfId="3" applyFont="1" applyBorder="1"/>
    <xf numFmtId="0" fontId="13" fillId="0" borderId="20" xfId="3" applyFont="1" applyBorder="1"/>
    <xf numFmtId="0" fontId="13" fillId="0" borderId="21" xfId="3" applyFont="1" applyBorder="1"/>
    <xf numFmtId="0" fontId="25" fillId="0" borderId="22" xfId="3" applyFont="1" applyFill="1" applyBorder="1" applyAlignment="1">
      <alignment vertical="center"/>
    </xf>
    <xf numFmtId="0" fontId="13" fillId="0" borderId="23" xfId="3" applyFont="1" applyBorder="1"/>
    <xf numFmtId="0" fontId="13" fillId="0" borderId="24" xfId="3" applyFont="1" applyBorder="1"/>
    <xf numFmtId="0" fontId="13" fillId="0" borderId="25" xfId="3" applyFont="1" applyBorder="1"/>
    <xf numFmtId="0" fontId="25" fillId="0" borderId="26" xfId="3" applyFont="1" applyFill="1" applyBorder="1" applyAlignment="1">
      <alignment vertical="center"/>
    </xf>
    <xf numFmtId="0" fontId="13" fillId="3" borderId="27" xfId="3" applyFont="1" applyFill="1" applyBorder="1"/>
    <xf numFmtId="0" fontId="13" fillId="3" borderId="28" xfId="3" applyFont="1" applyFill="1" applyBorder="1"/>
    <xf numFmtId="0" fontId="9" fillId="3" borderId="29" xfId="3" applyFill="1" applyBorder="1"/>
    <xf numFmtId="0" fontId="26" fillId="3" borderId="26" xfId="3" applyFont="1" applyFill="1" applyBorder="1" applyAlignment="1">
      <alignment vertical="center"/>
    </xf>
    <xf numFmtId="0" fontId="15" fillId="3" borderId="23" xfId="3" applyFont="1" applyFill="1" applyBorder="1"/>
    <xf numFmtId="0" fontId="15" fillId="3" borderId="24" xfId="3" applyFont="1" applyFill="1" applyBorder="1"/>
    <xf numFmtId="0" fontId="15" fillId="3" borderId="25" xfId="3" applyFont="1" applyFill="1" applyBorder="1"/>
    <xf numFmtId="0" fontId="13" fillId="3" borderId="30" xfId="3" applyFont="1" applyFill="1" applyBorder="1"/>
    <xf numFmtId="0" fontId="9" fillId="3" borderId="31" xfId="3" applyFill="1" applyBorder="1"/>
    <xf numFmtId="0" fontId="27" fillId="5" borderId="26" xfId="3" applyFont="1" applyFill="1" applyBorder="1" applyAlignment="1">
      <alignment vertical="center" wrapText="1"/>
    </xf>
    <xf numFmtId="174" fontId="13" fillId="0" borderId="23" xfId="3" applyNumberFormat="1" applyFont="1" applyBorder="1" applyAlignment="1">
      <alignment horizontal="center" vertical="center"/>
    </xf>
    <xf numFmtId="174" fontId="13" fillId="4" borderId="24" xfId="3" applyNumberFormat="1" applyFont="1" applyFill="1" applyBorder="1" applyAlignment="1">
      <alignment horizontal="center" vertical="center"/>
    </xf>
    <xf numFmtId="174" fontId="13" fillId="0" borderId="24" xfId="3" applyNumberFormat="1" applyFont="1" applyBorder="1" applyAlignment="1">
      <alignment horizontal="center" vertical="center"/>
    </xf>
    <xf numFmtId="174" fontId="13" fillId="0" borderId="25" xfId="3" applyNumberFormat="1" applyFont="1" applyBorder="1" applyAlignment="1">
      <alignment horizontal="center" vertical="center"/>
    </xf>
    <xf numFmtId="0" fontId="27" fillId="5" borderId="30" xfId="3" applyFont="1" applyFill="1" applyBorder="1" applyAlignment="1">
      <alignment vertical="center" wrapText="1"/>
    </xf>
    <xf numFmtId="10" fontId="13" fillId="0" borderId="9" xfId="3" applyNumberFormat="1" applyFont="1" applyBorder="1"/>
    <xf numFmtId="10" fontId="13" fillId="0" borderId="32" xfId="3" applyNumberFormat="1" applyFont="1" applyBorder="1"/>
    <xf numFmtId="0" fontId="28" fillId="5" borderId="26" xfId="3" applyFont="1" applyFill="1" applyBorder="1" applyAlignment="1">
      <alignment horizontal="right" vertical="center" wrapText="1"/>
    </xf>
    <xf numFmtId="0" fontId="28" fillId="4" borderId="26" xfId="3" applyFont="1" applyFill="1" applyBorder="1" applyAlignment="1">
      <alignment horizontal="right" vertical="center" wrapText="1"/>
    </xf>
    <xf numFmtId="174" fontId="13" fillId="0" borderId="33" xfId="3" applyNumberFormat="1" applyFont="1" applyBorder="1" applyAlignment="1">
      <alignment horizontal="center" vertical="center"/>
    </xf>
    <xf numFmtId="0" fontId="27" fillId="0" borderId="26" xfId="3" applyFont="1" applyFill="1" applyBorder="1" applyAlignment="1">
      <alignment vertical="center"/>
    </xf>
    <xf numFmtId="175" fontId="13" fillId="0" borderId="23" xfId="3" applyNumberFormat="1" applyFont="1" applyBorder="1" applyAlignment="1">
      <alignment horizontal="center" vertical="center"/>
    </xf>
    <xf numFmtId="175" fontId="13" fillId="0" borderId="24" xfId="3" applyNumberFormat="1" applyFont="1" applyBorder="1" applyAlignment="1">
      <alignment horizontal="center" vertical="center"/>
    </xf>
    <xf numFmtId="0" fontId="25" fillId="3" borderId="26" xfId="3" applyFont="1" applyFill="1" applyBorder="1" applyAlignment="1">
      <alignment vertical="center"/>
    </xf>
    <xf numFmtId="176" fontId="14" fillId="3" borderId="23" xfId="3" applyNumberFormat="1" applyFont="1" applyFill="1" applyBorder="1" applyAlignment="1">
      <alignment vertical="center"/>
    </xf>
    <xf numFmtId="176" fontId="14" fillId="3" borderId="24" xfId="3" applyNumberFormat="1" applyFont="1" applyFill="1" applyBorder="1" applyAlignment="1">
      <alignment vertical="center"/>
    </xf>
    <xf numFmtId="0" fontId="25" fillId="5" borderId="26" xfId="3" applyFont="1" applyFill="1" applyBorder="1" applyAlignment="1">
      <alignment vertical="center"/>
    </xf>
    <xf numFmtId="176" fontId="13" fillId="5" borderId="23" xfId="3" applyNumberFormat="1" applyFont="1" applyFill="1" applyBorder="1"/>
    <xf numFmtId="176" fontId="13" fillId="5" borderId="24" xfId="3" applyNumberFormat="1" applyFont="1" applyFill="1" applyBorder="1"/>
    <xf numFmtId="176" fontId="13" fillId="5" borderId="25" xfId="3" applyNumberFormat="1" applyFont="1" applyFill="1" applyBorder="1"/>
    <xf numFmtId="0" fontId="13" fillId="3" borderId="23" xfId="3" applyFont="1" applyFill="1" applyBorder="1"/>
    <xf numFmtId="0" fontId="13" fillId="3" borderId="24" xfId="3" applyFont="1" applyFill="1" applyBorder="1"/>
    <xf numFmtId="0" fontId="13" fillId="3" borderId="25" xfId="3" applyFont="1" applyFill="1" applyBorder="1"/>
    <xf numFmtId="174" fontId="13" fillId="4" borderId="23" xfId="3" applyNumberFormat="1" applyFont="1" applyFill="1" applyBorder="1" applyAlignment="1">
      <alignment horizontal="center" vertical="center"/>
    </xf>
    <xf numFmtId="174" fontId="13" fillId="5" borderId="24" xfId="3" applyNumberFormat="1" applyFont="1" applyFill="1" applyBorder="1" applyAlignment="1">
      <alignment horizontal="center" vertical="center"/>
    </xf>
    <xf numFmtId="174" fontId="13" fillId="5" borderId="25" xfId="3" applyNumberFormat="1" applyFont="1" applyFill="1" applyBorder="1" applyAlignment="1">
      <alignment horizontal="center" vertical="center"/>
    </xf>
    <xf numFmtId="0" fontId="13" fillId="3" borderId="0" xfId="3" applyFont="1" applyFill="1"/>
    <xf numFmtId="0" fontId="27" fillId="0" borderId="30" xfId="3" applyFont="1" applyFill="1" applyBorder="1" applyAlignment="1">
      <alignment vertical="center" wrapText="1"/>
    </xf>
    <xf numFmtId="0" fontId="11" fillId="4" borderId="14" xfId="3" applyFont="1" applyFill="1" applyBorder="1"/>
    <xf numFmtId="0" fontId="9" fillId="3" borderId="0" xfId="3" applyFill="1"/>
    <xf numFmtId="175" fontId="13" fillId="0" borderId="25" xfId="3" applyNumberFormat="1" applyFont="1" applyBorder="1" applyAlignment="1">
      <alignment horizontal="center" vertical="center"/>
    </xf>
    <xf numFmtId="176" fontId="14" fillId="3" borderId="23" xfId="3" applyNumberFormat="1" applyFont="1" applyFill="1" applyBorder="1"/>
    <xf numFmtId="176" fontId="14" fillId="3" borderId="24" xfId="3" applyNumberFormat="1" applyFont="1" applyFill="1" applyBorder="1"/>
    <xf numFmtId="176" fontId="14" fillId="3" borderId="25" xfId="3" applyNumberFormat="1" applyFont="1" applyFill="1" applyBorder="1"/>
    <xf numFmtId="176" fontId="13" fillId="3" borderId="23" xfId="3" applyNumberFormat="1" applyFont="1" applyFill="1" applyBorder="1"/>
    <xf numFmtId="176" fontId="13" fillId="3" borderId="24" xfId="3" applyNumberFormat="1" applyFont="1" applyFill="1" applyBorder="1"/>
    <xf numFmtId="0" fontId="26" fillId="0" borderId="26" xfId="3" applyFont="1" applyFill="1" applyBorder="1" applyAlignment="1">
      <alignment vertical="center"/>
    </xf>
    <xf numFmtId="176" fontId="13" fillId="0" borderId="24" xfId="3" applyNumberFormat="1" applyFont="1" applyBorder="1"/>
    <xf numFmtId="176" fontId="13" fillId="0" borderId="25" xfId="3" applyNumberFormat="1" applyFont="1" applyBorder="1"/>
    <xf numFmtId="174" fontId="13" fillId="5" borderId="23" xfId="3" applyNumberFormat="1" applyFont="1" applyFill="1" applyBorder="1" applyAlignment="1">
      <alignment horizontal="center" vertical="center"/>
    </xf>
    <xf numFmtId="0" fontId="26" fillId="3" borderId="22" xfId="3" applyFont="1" applyFill="1" applyBorder="1" applyAlignment="1">
      <alignment vertical="center"/>
    </xf>
    <xf numFmtId="0" fontId="26" fillId="3" borderId="34" xfId="3" applyFont="1" applyFill="1" applyBorder="1" applyAlignment="1">
      <alignment vertical="center"/>
    </xf>
    <xf numFmtId="0" fontId="13" fillId="0" borderId="35" xfId="3" applyFont="1" applyBorder="1"/>
    <xf numFmtId="176" fontId="13" fillId="0" borderId="36" xfId="3" applyNumberFormat="1" applyFont="1" applyBorder="1"/>
    <xf numFmtId="176" fontId="13" fillId="0" borderId="37" xfId="3" applyNumberFormat="1" applyFont="1" applyBorder="1"/>
    <xf numFmtId="176" fontId="13" fillId="0" borderId="23" xfId="3" applyNumberFormat="1" applyFont="1" applyBorder="1"/>
    <xf numFmtId="0" fontId="27" fillId="5" borderId="26" xfId="3" applyFont="1" applyFill="1" applyBorder="1" applyAlignment="1">
      <alignment vertical="center"/>
    </xf>
    <xf numFmtId="175" fontId="13" fillId="0" borderId="23" xfId="3" applyNumberFormat="1" applyFont="1" applyBorder="1"/>
    <xf numFmtId="175" fontId="13" fillId="0" borderId="24" xfId="3" applyNumberFormat="1" applyFont="1" applyBorder="1"/>
    <xf numFmtId="176" fontId="15" fillId="3" borderId="23" xfId="3" applyNumberFormat="1" applyFont="1" applyFill="1" applyBorder="1"/>
    <xf numFmtId="176" fontId="15" fillId="3" borderId="24" xfId="3" applyNumberFormat="1" applyFont="1" applyFill="1" applyBorder="1"/>
    <xf numFmtId="176" fontId="15" fillId="3" borderId="25" xfId="3" applyNumberFormat="1" applyFont="1" applyFill="1" applyBorder="1"/>
    <xf numFmtId="0" fontId="26" fillId="5" borderId="26" xfId="3" applyFont="1" applyFill="1" applyBorder="1" applyAlignment="1">
      <alignment vertical="center"/>
    </xf>
    <xf numFmtId="0" fontId="13" fillId="5" borderId="0" xfId="3" applyFont="1" applyFill="1"/>
    <xf numFmtId="0" fontId="13" fillId="5" borderId="30" xfId="3" applyFont="1" applyFill="1" applyBorder="1"/>
    <xf numFmtId="0" fontId="13" fillId="5" borderId="9" xfId="3" applyFont="1" applyFill="1" applyBorder="1"/>
    <xf numFmtId="0" fontId="9" fillId="5" borderId="31" xfId="3" applyFill="1" applyBorder="1"/>
    <xf numFmtId="0" fontId="13" fillId="5" borderId="23" xfId="3" applyNumberFormat="1" applyFont="1" applyFill="1" applyBorder="1"/>
    <xf numFmtId="175" fontId="13" fillId="4" borderId="24" xfId="3" applyNumberFormat="1" applyFont="1" applyFill="1" applyBorder="1"/>
    <xf numFmtId="175" fontId="13" fillId="0" borderId="25" xfId="3" applyNumberFormat="1" applyFont="1" applyBorder="1"/>
    <xf numFmtId="175" fontId="13" fillId="0" borderId="38" xfId="3" applyNumberFormat="1" applyFont="1" applyBorder="1"/>
    <xf numFmtId="177" fontId="15" fillId="3" borderId="24" xfId="5" applyNumberFormat="1" applyFont="1" applyFill="1" applyBorder="1"/>
    <xf numFmtId="0" fontId="26" fillId="3" borderId="39" xfId="3" applyFont="1" applyFill="1" applyBorder="1" applyAlignment="1">
      <alignment vertical="center"/>
    </xf>
    <xf numFmtId="0" fontId="27" fillId="0" borderId="22" xfId="3" applyFont="1" applyFill="1" applyBorder="1" applyAlignment="1">
      <alignment vertical="center"/>
    </xf>
    <xf numFmtId="43" fontId="13" fillId="0" borderId="23" xfId="5" applyFont="1" applyBorder="1"/>
    <xf numFmtId="43" fontId="13" fillId="0" borderId="24" xfId="5" applyFont="1" applyBorder="1"/>
    <xf numFmtId="43" fontId="13" fillId="0" borderId="25" xfId="5" applyFont="1" applyBorder="1"/>
    <xf numFmtId="43" fontId="15" fillId="0" borderId="23" xfId="5" applyFont="1" applyBorder="1"/>
    <xf numFmtId="0" fontId="9" fillId="3" borderId="32" xfId="3" applyFill="1" applyBorder="1"/>
    <xf numFmtId="0" fontId="13" fillId="0" borderId="30" xfId="3" applyFont="1" applyBorder="1"/>
    <xf numFmtId="9" fontId="13" fillId="0" borderId="9" xfId="3" applyNumberFormat="1" applyFont="1" applyBorder="1"/>
    <xf numFmtId="0" fontId="13" fillId="0" borderId="40" xfId="3" applyFont="1" applyBorder="1"/>
    <xf numFmtId="43" fontId="13" fillId="0" borderId="33" xfId="5" applyFont="1" applyBorder="1"/>
    <xf numFmtId="0" fontId="27" fillId="4" borderId="26" xfId="3" applyFont="1" applyFill="1" applyBorder="1" applyAlignment="1">
      <alignment vertical="center" wrapText="1"/>
    </xf>
    <xf numFmtId="0" fontId="15" fillId="4" borderId="12" xfId="3" applyFont="1" applyFill="1" applyBorder="1"/>
    <xf numFmtId="43" fontId="13" fillId="0" borderId="38" xfId="5" applyFont="1" applyBorder="1"/>
    <xf numFmtId="43" fontId="15" fillId="0" borderId="24" xfId="5" applyFont="1" applyBorder="1"/>
    <xf numFmtId="0" fontId="27" fillId="4" borderId="26" xfId="3" applyFont="1" applyFill="1" applyBorder="1" applyAlignment="1">
      <alignment vertical="center"/>
    </xf>
    <xf numFmtId="43" fontId="13" fillId="4" borderId="24" xfId="5" applyFont="1" applyFill="1" applyBorder="1"/>
    <xf numFmtId="0" fontId="9" fillId="0" borderId="24" xfId="3" applyBorder="1"/>
    <xf numFmtId="20" fontId="13" fillId="0" borderId="30" xfId="3" applyNumberFormat="1" applyFont="1" applyBorder="1"/>
    <xf numFmtId="43" fontId="15" fillId="4" borderId="23" xfId="5" applyFont="1" applyFill="1" applyBorder="1"/>
    <xf numFmtId="43" fontId="15" fillId="0" borderId="25" xfId="5" applyFont="1" applyBorder="1"/>
    <xf numFmtId="165" fontId="14" fillId="3" borderId="23" xfId="5" applyNumberFormat="1" applyFont="1" applyFill="1" applyBorder="1"/>
    <xf numFmtId="9" fontId="14" fillId="3" borderId="23" xfId="4" applyFont="1" applyFill="1" applyBorder="1"/>
    <xf numFmtId="0" fontId="15" fillId="0" borderId="23" xfId="3" applyFont="1" applyBorder="1"/>
    <xf numFmtId="177" fontId="15" fillId="0" borderId="24" xfId="3" applyNumberFormat="1" applyFont="1" applyBorder="1"/>
    <xf numFmtId="0" fontId="28" fillId="5" borderId="26" xfId="3" applyFont="1" applyFill="1" applyBorder="1" applyAlignment="1">
      <alignment vertical="center"/>
    </xf>
    <xf numFmtId="177" fontId="13" fillId="0" borderId="23" xfId="3" applyNumberFormat="1" applyFont="1" applyBorder="1"/>
    <xf numFmtId="177" fontId="16" fillId="0" borderId="24" xfId="3" applyNumberFormat="1" applyFont="1" applyBorder="1"/>
    <xf numFmtId="176" fontId="13" fillId="0" borderId="0" xfId="3" applyNumberFormat="1" applyFont="1"/>
    <xf numFmtId="176" fontId="13" fillId="3" borderId="30" xfId="3" applyNumberFormat="1" applyFont="1" applyFill="1" applyBorder="1"/>
    <xf numFmtId="176" fontId="13" fillId="3" borderId="9" xfId="3" applyNumberFormat="1" applyFont="1" applyFill="1" applyBorder="1"/>
    <xf numFmtId="176" fontId="9" fillId="3" borderId="31" xfId="3" applyNumberFormat="1" applyFill="1" applyBorder="1"/>
    <xf numFmtId="176" fontId="9" fillId="0" borderId="0" xfId="3" applyNumberFormat="1"/>
    <xf numFmtId="177" fontId="15" fillId="0" borderId="23" xfId="3" applyNumberFormat="1" applyFont="1" applyBorder="1"/>
    <xf numFmtId="177" fontId="16" fillId="0" borderId="33" xfId="3" applyNumberFormat="1" applyFont="1" applyBorder="1"/>
    <xf numFmtId="177" fontId="13" fillId="0" borderId="24" xfId="3" applyNumberFormat="1" applyFont="1" applyBorder="1"/>
    <xf numFmtId="0" fontId="28" fillId="0" borderId="26" xfId="3" applyFont="1" applyFill="1" applyBorder="1" applyAlignment="1">
      <alignment vertical="center"/>
    </xf>
    <xf numFmtId="177" fontId="16" fillId="0" borderId="23" xfId="3" applyNumberFormat="1" applyFont="1" applyBorder="1"/>
    <xf numFmtId="0" fontId="26" fillId="8" borderId="26" xfId="3" applyFont="1" applyFill="1" applyBorder="1" applyAlignment="1">
      <alignment vertical="center"/>
    </xf>
    <xf numFmtId="177" fontId="15" fillId="8" borderId="23" xfId="3" applyNumberFormat="1" applyFont="1" applyFill="1" applyBorder="1"/>
    <xf numFmtId="177" fontId="15" fillId="8" borderId="24" xfId="3" applyNumberFormat="1" applyFont="1" applyFill="1" applyBorder="1"/>
    <xf numFmtId="0" fontId="26" fillId="0" borderId="34" xfId="3" applyFont="1" applyFill="1" applyBorder="1" applyAlignment="1">
      <alignment vertical="center"/>
    </xf>
    <xf numFmtId="176" fontId="13" fillId="4" borderId="24" xfId="3" applyNumberFormat="1" applyFont="1" applyFill="1" applyBorder="1"/>
    <xf numFmtId="165" fontId="13" fillId="0" borderId="24" xfId="5" applyNumberFormat="1" applyFont="1" applyBorder="1"/>
    <xf numFmtId="165" fontId="13" fillId="0" borderId="25" xfId="5" applyNumberFormat="1" applyFont="1" applyBorder="1"/>
    <xf numFmtId="176" fontId="13" fillId="4" borderId="23" xfId="3" applyNumberFormat="1" applyFont="1" applyFill="1" applyBorder="1"/>
    <xf numFmtId="0" fontId="27" fillId="9" borderId="26" xfId="3" applyFont="1" applyFill="1" applyBorder="1" applyAlignment="1">
      <alignment vertical="center"/>
    </xf>
    <xf numFmtId="176" fontId="15" fillId="0" borderId="23" xfId="3" applyNumberFormat="1" applyFont="1" applyBorder="1"/>
    <xf numFmtId="176" fontId="15" fillId="0" borderId="24" xfId="3" applyNumberFormat="1" applyFont="1" applyBorder="1"/>
    <xf numFmtId="176" fontId="15" fillId="0" borderId="25" xfId="3" applyNumberFormat="1" applyFont="1" applyBorder="1"/>
    <xf numFmtId="0" fontId="13" fillId="3" borderId="41" xfId="3" applyFont="1" applyFill="1" applyBorder="1"/>
    <xf numFmtId="0" fontId="13" fillId="3" borderId="42" xfId="3" applyFont="1" applyFill="1" applyBorder="1"/>
    <xf numFmtId="0" fontId="9" fillId="3" borderId="43" xfId="3" applyFill="1" applyBorder="1"/>
    <xf numFmtId="0" fontId="26" fillId="0" borderId="39" xfId="3" applyFont="1" applyFill="1" applyBorder="1" applyAlignment="1">
      <alignment vertical="center"/>
    </xf>
    <xf numFmtId="176" fontId="15" fillId="0" borderId="44" xfId="3" applyNumberFormat="1" applyFont="1" applyBorder="1"/>
    <xf numFmtId="176" fontId="15" fillId="0" borderId="45" xfId="3" applyNumberFormat="1" applyFont="1" applyBorder="1"/>
    <xf numFmtId="176" fontId="15" fillId="0" borderId="46" xfId="3" applyNumberFormat="1" applyFont="1" applyBorder="1"/>
    <xf numFmtId="0" fontId="13" fillId="3" borderId="47" xfId="3" applyFont="1" applyFill="1" applyBorder="1"/>
    <xf numFmtId="0" fontId="13" fillId="3" borderId="48" xfId="3" applyFont="1" applyFill="1" applyBorder="1"/>
    <xf numFmtId="0" fontId="9" fillId="3" borderId="49" xfId="3" applyFill="1" applyBorder="1"/>
    <xf numFmtId="176" fontId="13" fillId="0" borderId="44" xfId="3" applyNumberFormat="1" applyFont="1" applyBorder="1"/>
    <xf numFmtId="176" fontId="13" fillId="0" borderId="45" xfId="3" applyNumberFormat="1" applyFont="1" applyBorder="1"/>
    <xf numFmtId="0" fontId="26" fillId="0" borderId="9" xfId="3" applyFont="1" applyFill="1" applyBorder="1" applyAlignment="1">
      <alignment vertical="center"/>
    </xf>
    <xf numFmtId="176" fontId="15" fillId="0" borderId="9" xfId="3" applyNumberFormat="1" applyFont="1" applyBorder="1"/>
    <xf numFmtId="0" fontId="26" fillId="0" borderId="0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165" fontId="13" fillId="0" borderId="20" xfId="5" applyNumberFormat="1" applyFont="1" applyBorder="1"/>
    <xf numFmtId="165" fontId="13" fillId="0" borderId="21" xfId="5" applyNumberFormat="1" applyFont="1" applyBorder="1"/>
    <xf numFmtId="0" fontId="26" fillId="0" borderId="23" xfId="3" applyFont="1" applyFill="1" applyBorder="1" applyAlignment="1">
      <alignment vertical="center"/>
    </xf>
    <xf numFmtId="165" fontId="13" fillId="4" borderId="24" xfId="5" applyNumberFormat="1" applyFont="1" applyFill="1" applyBorder="1"/>
    <xf numFmtId="0" fontId="15" fillId="0" borderId="24" xfId="3" applyFont="1" applyBorder="1"/>
    <xf numFmtId="43" fontId="15" fillId="4" borderId="24" xfId="5" applyFont="1" applyFill="1" applyBorder="1"/>
    <xf numFmtId="0" fontId="26" fillId="0" borderId="44" xfId="3" applyFont="1" applyFill="1" applyBorder="1" applyAlignment="1">
      <alignment vertical="center"/>
    </xf>
    <xf numFmtId="0" fontId="15" fillId="0" borderId="45" xfId="3" applyFont="1" applyBorder="1"/>
    <xf numFmtId="43" fontId="15" fillId="0" borderId="45" xfId="3" applyNumberFormat="1" applyFont="1" applyBorder="1"/>
    <xf numFmtId="43" fontId="15" fillId="0" borderId="46" xfId="3" applyNumberFormat="1" applyFont="1" applyBorder="1"/>
    <xf numFmtId="0" fontId="15" fillId="0" borderId="0" xfId="3" applyFont="1" applyBorder="1"/>
    <xf numFmtId="43" fontId="15" fillId="0" borderId="0" xfId="3" applyNumberFormat="1" applyFont="1" applyBorder="1"/>
    <xf numFmtId="0" fontId="26" fillId="0" borderId="27" xfId="3" applyFont="1" applyFill="1" applyBorder="1" applyAlignment="1">
      <alignment vertical="center"/>
    </xf>
    <xf numFmtId="175" fontId="13" fillId="0" borderId="28" xfId="3" applyNumberFormat="1" applyFont="1" applyBorder="1"/>
    <xf numFmtId="0" fontId="26" fillId="0" borderId="30" xfId="3" applyFont="1" applyFill="1" applyBorder="1" applyAlignment="1">
      <alignment vertical="center"/>
    </xf>
    <xf numFmtId="175" fontId="13" fillId="0" borderId="9" xfId="3" applyNumberFormat="1" applyFont="1" applyBorder="1"/>
    <xf numFmtId="175" fontId="13" fillId="0" borderId="31" xfId="3" applyNumberFormat="1" applyFont="1" applyBorder="1"/>
    <xf numFmtId="0" fontId="9" fillId="0" borderId="30" xfId="3" applyBorder="1"/>
    <xf numFmtId="0" fontId="9" fillId="0" borderId="9" xfId="3" applyBorder="1"/>
    <xf numFmtId="0" fontId="9" fillId="0" borderId="31" xfId="3" applyBorder="1"/>
    <xf numFmtId="0" fontId="25" fillId="0" borderId="30" xfId="3" applyFont="1" applyFill="1" applyBorder="1" applyAlignment="1">
      <alignment vertical="center"/>
    </xf>
    <xf numFmtId="9" fontId="16" fillId="0" borderId="9" xfId="4" applyFont="1" applyBorder="1"/>
    <xf numFmtId="9" fontId="16" fillId="0" borderId="31" xfId="4" applyFont="1" applyBorder="1"/>
    <xf numFmtId="0" fontId="25" fillId="0" borderId="0" xfId="3" applyFont="1" applyFill="1" applyBorder="1" applyAlignment="1">
      <alignment vertical="center"/>
    </xf>
    <xf numFmtId="9" fontId="16" fillId="0" borderId="0" xfId="4" applyFont="1" applyBorder="1"/>
    <xf numFmtId="0" fontId="11" fillId="0" borderId="0" xfId="3" applyFont="1"/>
    <xf numFmtId="0" fontId="9" fillId="4" borderId="0" xfId="3" applyFont="1" applyFill="1"/>
    <xf numFmtId="0" fontId="9" fillId="4" borderId="0" xfId="3" applyFill="1"/>
    <xf numFmtId="0" fontId="2" fillId="0" borderId="0" xfId="0" applyFont="1"/>
    <xf numFmtId="14" fontId="14" fillId="0" borderId="0" xfId="3" applyNumberFormat="1" applyFont="1"/>
    <xf numFmtId="14" fontId="24" fillId="0" borderId="16" xfId="3" applyNumberFormat="1" applyFont="1" applyBorder="1" applyAlignment="1">
      <alignment horizontal="center" vertical="center"/>
    </xf>
    <xf numFmtId="44" fontId="3" fillId="3" borderId="0" xfId="2" applyFont="1" applyFill="1"/>
    <xf numFmtId="43" fontId="0" fillId="0" borderId="0" xfId="1" applyFont="1" applyAlignment="1">
      <alignment horizontal="center"/>
    </xf>
    <xf numFmtId="43" fontId="0" fillId="3" borderId="0" xfId="1" applyFont="1" applyFill="1"/>
    <xf numFmtId="44" fontId="3" fillId="3" borderId="2" xfId="2" applyFont="1" applyFill="1" applyBorder="1"/>
    <xf numFmtId="44" fontId="7" fillId="3" borderId="0" xfId="2" applyFont="1" applyFill="1"/>
    <xf numFmtId="0" fontId="29" fillId="0" borderId="0" xfId="0" applyFont="1" applyAlignment="1">
      <alignment horizontal="right"/>
    </xf>
    <xf numFmtId="9" fontId="0" fillId="0" borderId="0" xfId="0" applyNumberFormat="1"/>
    <xf numFmtId="9" fontId="0" fillId="4" borderId="0" xfId="0" applyNumberFormat="1" applyFill="1"/>
    <xf numFmtId="43" fontId="13" fillId="10" borderId="24" xfId="5" applyFont="1" applyFill="1" applyBorder="1"/>
    <xf numFmtId="43" fontId="30" fillId="0" borderId="24" xfId="5" applyFont="1" applyBorder="1"/>
    <xf numFmtId="43" fontId="13" fillId="10" borderId="25" xfId="5" applyFont="1" applyFill="1" applyBorder="1"/>
    <xf numFmtId="49" fontId="9" fillId="0" borderId="0" xfId="28" applyNumberFormat="1" applyAlignment="1">
      <alignment horizontal="center" wrapText="1"/>
    </xf>
    <xf numFmtId="0" fontId="9" fillId="0" borderId="0" xfId="28">
      <alignment wrapText="1"/>
    </xf>
    <xf numFmtId="178" fontId="32" fillId="11" borderId="0" xfId="28" applyNumberFormat="1" applyFont="1" applyFill="1" applyBorder="1" applyAlignment="1">
      <alignment horizontal="right" vertical="center" wrapText="1" readingOrder="1"/>
    </xf>
    <xf numFmtId="178" fontId="33" fillId="11" borderId="0" xfId="28" applyNumberFormat="1" applyFont="1" applyFill="1" applyBorder="1" applyAlignment="1">
      <alignment vertical="center" wrapText="1" readingOrder="1"/>
    </xf>
    <xf numFmtId="178" fontId="33" fillId="0" borderId="0" xfId="28" applyNumberFormat="1" applyFont="1" applyFill="1" applyBorder="1" applyAlignment="1">
      <alignment vertical="center" wrapText="1" readingOrder="1"/>
    </xf>
    <xf numFmtId="9" fontId="33" fillId="11" borderId="0" xfId="29" applyFont="1" applyFill="1" applyBorder="1" applyAlignment="1">
      <alignment vertical="center" wrapText="1" readingOrder="1"/>
    </xf>
    <xf numFmtId="179" fontId="33" fillId="11" borderId="0" xfId="28" applyNumberFormat="1" applyFont="1" applyFill="1" applyBorder="1" applyAlignment="1">
      <alignment horizontal="left" vertical="center" wrapText="1" readingOrder="1"/>
    </xf>
    <xf numFmtId="179" fontId="33" fillId="11" borderId="0" xfId="28" applyNumberFormat="1" applyFont="1" applyFill="1" applyBorder="1" applyAlignment="1">
      <alignment vertical="center" wrapText="1" readingOrder="1"/>
    </xf>
    <xf numFmtId="179" fontId="33" fillId="0" borderId="0" xfId="28" applyNumberFormat="1" applyFont="1" applyFill="1" applyBorder="1" applyAlignment="1">
      <alignment vertical="center" wrapText="1" readingOrder="1"/>
    </xf>
    <xf numFmtId="178" fontId="34" fillId="11" borderId="0" xfId="28" applyNumberFormat="1" applyFont="1" applyFill="1" applyBorder="1" applyAlignment="1">
      <alignment horizontal="right" vertical="center" wrapText="1" readingOrder="1"/>
    </xf>
    <xf numFmtId="178" fontId="35" fillId="11" borderId="0" xfId="28" applyNumberFormat="1" applyFont="1" applyFill="1" applyBorder="1" applyAlignment="1">
      <alignment horizontal="center" vertical="center" wrapText="1" readingOrder="1"/>
    </xf>
    <xf numFmtId="178" fontId="35" fillId="0" borderId="0" xfId="28" applyNumberFormat="1" applyFont="1" applyFill="1" applyBorder="1" applyAlignment="1">
      <alignment horizontal="center" vertical="center" wrapText="1" readingOrder="1"/>
    </xf>
    <xf numFmtId="9" fontId="35" fillId="11" borderId="0" xfId="29" applyFont="1" applyFill="1" applyBorder="1" applyAlignment="1">
      <alignment vertical="center" wrapText="1" readingOrder="1"/>
    </xf>
    <xf numFmtId="178" fontId="35" fillId="11" borderId="0" xfId="28" applyNumberFormat="1" applyFont="1" applyFill="1" applyBorder="1" applyAlignment="1">
      <alignment vertical="center" wrapText="1" readingOrder="1"/>
    </xf>
    <xf numFmtId="49" fontId="36" fillId="0" borderId="0" xfId="28" applyNumberFormat="1" applyFont="1" applyAlignment="1">
      <alignment horizontal="center" wrapText="1"/>
    </xf>
    <xf numFmtId="0" fontId="36" fillId="0" borderId="0" xfId="28" applyFont="1">
      <alignment wrapText="1"/>
    </xf>
    <xf numFmtId="0" fontId="11" fillId="0" borderId="3" xfId="28" applyFont="1" applyFill="1" applyBorder="1" applyAlignment="1">
      <alignment horizontal="center" vertical="center" wrapText="1" readingOrder="1"/>
    </xf>
    <xf numFmtId="0" fontId="11" fillId="2" borderId="3" xfId="28" applyFont="1" applyFill="1" applyBorder="1" applyAlignment="1">
      <alignment horizontal="center" vertical="center" wrapText="1" readingOrder="1"/>
    </xf>
    <xf numFmtId="9" fontId="11" fillId="0" borderId="3" xfId="29" applyFont="1" applyFill="1" applyBorder="1" applyAlignment="1">
      <alignment horizontal="center" vertical="center" wrapText="1" readingOrder="1"/>
    </xf>
    <xf numFmtId="0" fontId="11" fillId="0" borderId="14" xfId="28" applyFont="1" applyFill="1" applyBorder="1" applyAlignment="1">
      <alignment horizontal="center" vertical="center" wrapText="1" readingOrder="1"/>
    </xf>
    <xf numFmtId="49" fontId="11" fillId="0" borderId="51" xfId="28" applyNumberFormat="1" applyFont="1" applyFill="1" applyBorder="1" applyAlignment="1">
      <alignment horizontal="center" vertical="center" wrapText="1"/>
    </xf>
    <xf numFmtId="0" fontId="11" fillId="0" borderId="51" xfId="28" applyFont="1" applyFill="1" applyBorder="1" applyAlignment="1">
      <alignment horizontal="center" vertical="center" wrapText="1" readingOrder="1"/>
    </xf>
    <xf numFmtId="0" fontId="11" fillId="2" borderId="51" xfId="28" applyFont="1" applyFill="1" applyBorder="1" applyAlignment="1">
      <alignment horizontal="center" vertical="center" wrapText="1" readingOrder="1"/>
    </xf>
    <xf numFmtId="9" fontId="11" fillId="0" borderId="51" xfId="29" applyFont="1" applyFill="1" applyBorder="1" applyAlignment="1">
      <alignment horizontal="center" vertical="center" wrapText="1" readingOrder="1"/>
    </xf>
    <xf numFmtId="49" fontId="11" fillId="0" borderId="0" xfId="28" applyNumberFormat="1" applyFont="1" applyFill="1" applyBorder="1" applyAlignment="1">
      <alignment horizontal="center" vertical="center" wrapText="1"/>
    </xf>
    <xf numFmtId="14" fontId="11" fillId="0" borderId="6" xfId="28" applyNumberFormat="1" applyFont="1" applyFill="1" applyBorder="1" applyAlignment="1">
      <alignment horizontal="center" vertical="center" wrapText="1" readingOrder="1"/>
    </xf>
    <xf numFmtId="14" fontId="11" fillId="2" borderId="6" xfId="28" applyNumberFormat="1" applyFont="1" applyFill="1" applyBorder="1" applyAlignment="1">
      <alignment horizontal="center" vertical="center" wrapText="1" readingOrder="1"/>
    </xf>
    <xf numFmtId="14" fontId="11" fillId="0" borderId="6" xfId="29" applyNumberFormat="1" applyFont="1" applyFill="1" applyBorder="1" applyAlignment="1">
      <alignment horizontal="center" vertical="center" wrapText="1" readingOrder="1"/>
    </xf>
    <xf numFmtId="3" fontId="37" fillId="12" borderId="55" xfId="28" applyNumberFormat="1" applyFont="1" applyFill="1" applyBorder="1" applyAlignment="1">
      <alignment horizontal="right" vertical="center" readingOrder="1"/>
    </xf>
    <xf numFmtId="3" fontId="37" fillId="12" borderId="56" xfId="28" applyNumberFormat="1" applyFont="1" applyFill="1" applyBorder="1" applyAlignment="1">
      <alignment horizontal="right" vertical="center" readingOrder="1"/>
    </xf>
    <xf numFmtId="9" fontId="37" fillId="12" borderId="56" xfId="29" applyFont="1" applyFill="1" applyBorder="1" applyAlignment="1">
      <alignment horizontal="right" vertical="center" readingOrder="1"/>
    </xf>
    <xf numFmtId="9" fontId="37" fillId="12" borderId="12" xfId="29" applyFont="1" applyFill="1" applyBorder="1" applyAlignment="1">
      <alignment horizontal="right" vertical="center" readingOrder="1"/>
    </xf>
    <xf numFmtId="3" fontId="38" fillId="11" borderId="57" xfId="28" applyNumberFormat="1" applyFont="1" applyFill="1" applyBorder="1" applyAlignment="1">
      <alignment horizontal="right" vertical="center" wrapText="1" readingOrder="1"/>
    </xf>
    <xf numFmtId="9" fontId="38" fillId="11" borderId="57" xfId="29" applyFont="1" applyFill="1" applyBorder="1" applyAlignment="1">
      <alignment horizontal="right" vertical="center" wrapText="1" readingOrder="1"/>
    </xf>
    <xf numFmtId="0" fontId="11" fillId="0" borderId="51" xfId="28" applyFont="1" applyBorder="1" applyAlignment="1">
      <alignment horizontal="center" wrapText="1"/>
    </xf>
    <xf numFmtId="180" fontId="39" fillId="0" borderId="58" xfId="28" applyNumberFormat="1" applyFont="1" applyFill="1" applyBorder="1" applyAlignment="1">
      <alignment horizontal="right" vertical="center" readingOrder="1"/>
    </xf>
    <xf numFmtId="180" fontId="39" fillId="2" borderId="58" xfId="28" applyNumberFormat="1" applyFont="1" applyFill="1" applyBorder="1" applyAlignment="1">
      <alignment horizontal="right" vertical="center" readingOrder="1"/>
    </xf>
    <xf numFmtId="9" fontId="39" fillId="0" borderId="58" xfId="29" applyFont="1" applyFill="1" applyBorder="1" applyAlignment="1">
      <alignment horizontal="right" vertical="center" readingOrder="1"/>
    </xf>
    <xf numFmtId="0" fontId="40" fillId="0" borderId="51" xfId="28" applyFont="1" applyBorder="1">
      <alignment wrapText="1"/>
    </xf>
    <xf numFmtId="49" fontId="39" fillId="5" borderId="0" xfId="28" applyNumberFormat="1" applyFont="1" applyFill="1" applyBorder="1" applyAlignment="1">
      <alignment horizontal="center" vertical="center"/>
    </xf>
    <xf numFmtId="3" fontId="38" fillId="11" borderId="58" xfId="28" applyNumberFormat="1" applyFont="1" applyFill="1" applyBorder="1" applyAlignment="1">
      <alignment horizontal="right" vertical="center" wrapText="1" readingOrder="1"/>
    </xf>
    <xf numFmtId="3" fontId="38" fillId="2" borderId="58" xfId="28" applyNumberFormat="1" applyFont="1" applyFill="1" applyBorder="1" applyAlignment="1">
      <alignment horizontal="right" vertical="center" wrapText="1" readingOrder="1"/>
    </xf>
    <xf numFmtId="9" fontId="38" fillId="11" borderId="58" xfId="29" applyFont="1" applyFill="1" applyBorder="1" applyAlignment="1">
      <alignment horizontal="right" vertical="center" wrapText="1" readingOrder="1"/>
    </xf>
    <xf numFmtId="0" fontId="9" fillId="0" borderId="51" xfId="28" applyBorder="1">
      <alignment wrapText="1"/>
    </xf>
    <xf numFmtId="180" fontId="39" fillId="0" borderId="51" xfId="28" applyNumberFormat="1" applyFont="1" applyFill="1" applyBorder="1" applyAlignment="1">
      <alignment horizontal="right" vertical="center" readingOrder="1"/>
    </xf>
    <xf numFmtId="0" fontId="9" fillId="0" borderId="51" xfId="28" applyFont="1" applyBorder="1">
      <alignment wrapText="1"/>
    </xf>
    <xf numFmtId="49" fontId="9" fillId="0" borderId="0" xfId="28" applyNumberFormat="1" applyFont="1" applyAlignment="1">
      <alignment horizontal="center" wrapText="1"/>
    </xf>
    <xf numFmtId="180" fontId="9" fillId="0" borderId="58" xfId="28" applyNumberFormat="1" applyFont="1" applyFill="1" applyBorder="1" applyAlignment="1">
      <alignment horizontal="right" vertical="center" readingOrder="1"/>
    </xf>
    <xf numFmtId="180" fontId="9" fillId="2" borderId="58" xfId="28" applyNumberFormat="1" applyFont="1" applyFill="1" applyBorder="1" applyAlignment="1">
      <alignment horizontal="right" vertical="center" readingOrder="1"/>
    </xf>
    <xf numFmtId="0" fontId="41" fillId="0" borderId="51" xfId="28" applyFont="1" applyBorder="1">
      <alignment wrapText="1"/>
    </xf>
    <xf numFmtId="182" fontId="39" fillId="0" borderId="58" xfId="30" applyNumberFormat="1" applyFont="1" applyFill="1" applyBorder="1" applyAlignment="1">
      <alignment horizontal="right" vertical="center" readingOrder="1"/>
    </xf>
    <xf numFmtId="182" fontId="39" fillId="2" borderId="58" xfId="30" applyNumberFormat="1" applyFont="1" applyFill="1" applyBorder="1" applyAlignment="1">
      <alignment horizontal="right" vertical="center" readingOrder="1"/>
    </xf>
    <xf numFmtId="3" fontId="38" fillId="11" borderId="51" xfId="28" applyNumberFormat="1" applyFont="1" applyFill="1" applyBorder="1" applyAlignment="1">
      <alignment horizontal="right" vertical="center" wrapText="1" readingOrder="1"/>
    </xf>
    <xf numFmtId="180" fontId="42" fillId="2" borderId="58" xfId="28" applyNumberFormat="1" applyFont="1" applyFill="1" applyBorder="1" applyAlignment="1">
      <alignment horizontal="right" vertical="center" readingOrder="1"/>
    </xf>
    <xf numFmtId="0" fontId="9" fillId="0" borderId="51" xfId="28" applyBorder="1" applyAlignment="1">
      <alignment horizontal="left" vertical="center" wrapText="1"/>
    </xf>
    <xf numFmtId="0" fontId="40" fillId="0" borderId="51" xfId="28" applyFont="1" applyBorder="1" applyAlignment="1">
      <alignment horizontal="left" vertical="center" wrapText="1"/>
    </xf>
    <xf numFmtId="9" fontId="39" fillId="5" borderId="58" xfId="29" applyFont="1" applyFill="1" applyBorder="1" applyAlignment="1">
      <alignment horizontal="right" vertical="center" readingOrder="1"/>
    </xf>
    <xf numFmtId="0" fontId="11" fillId="0" borderId="4" xfId="28" applyFont="1" applyFill="1" applyBorder="1" applyAlignment="1">
      <alignment horizontal="center" vertical="center" wrapText="1" readingOrder="1"/>
    </xf>
    <xf numFmtId="0" fontId="11" fillId="2" borderId="50" xfId="28" applyFont="1" applyFill="1" applyBorder="1" applyAlignment="1">
      <alignment horizontal="center" vertical="center" wrapText="1" readingOrder="1"/>
    </xf>
    <xf numFmtId="9" fontId="11" fillId="0" borderId="5" xfId="29" applyFont="1" applyFill="1" applyBorder="1" applyAlignment="1">
      <alignment horizontal="center" vertical="center" wrapText="1" readingOrder="1"/>
    </xf>
    <xf numFmtId="0" fontId="9" fillId="0" borderId="5" xfId="28" applyBorder="1">
      <alignment wrapText="1"/>
    </xf>
    <xf numFmtId="0" fontId="11" fillId="0" borderId="52" xfId="28" applyFont="1" applyFill="1" applyBorder="1" applyAlignment="1">
      <alignment horizontal="center" vertical="center" wrapText="1" readingOrder="1"/>
    </xf>
    <xf numFmtId="0" fontId="11" fillId="2" borderId="0" xfId="28" applyFont="1" applyFill="1" applyBorder="1" applyAlignment="1">
      <alignment horizontal="center" vertical="center" wrapText="1" readingOrder="1"/>
    </xf>
    <xf numFmtId="9" fontId="11" fillId="0" borderId="59" xfId="29" applyFont="1" applyFill="1" applyBorder="1" applyAlignment="1">
      <alignment horizontal="center" vertical="center" wrapText="1" readingOrder="1"/>
    </xf>
    <xf numFmtId="0" fontId="9" fillId="0" borderId="0" xfId="28" applyBorder="1">
      <alignment wrapText="1"/>
    </xf>
    <xf numFmtId="14" fontId="11" fillId="0" borderId="7" xfId="28" applyNumberFormat="1" applyFont="1" applyFill="1" applyBorder="1" applyAlignment="1">
      <alignment horizontal="center" vertical="center" wrapText="1" readingOrder="1"/>
    </xf>
    <xf numFmtId="14" fontId="11" fillId="2" borderId="60" xfId="28" applyNumberFormat="1" applyFont="1" applyFill="1" applyBorder="1" applyAlignment="1">
      <alignment horizontal="center" vertical="center" wrapText="1" readingOrder="1"/>
    </xf>
    <xf numFmtId="14" fontId="11" fillId="0" borderId="8" xfId="29" applyNumberFormat="1" applyFont="1" applyFill="1" applyBorder="1" applyAlignment="1">
      <alignment horizontal="center" vertical="center" wrapText="1" readingOrder="1"/>
    </xf>
    <xf numFmtId="3" fontId="37" fillId="12" borderId="6" xfId="28" applyNumberFormat="1" applyFont="1" applyFill="1" applyBorder="1" applyAlignment="1">
      <alignment horizontal="right" vertical="center" readingOrder="1"/>
    </xf>
    <xf numFmtId="3" fontId="37" fillId="12" borderId="61" xfId="28" applyNumberFormat="1" applyFont="1" applyFill="1" applyBorder="1" applyAlignment="1">
      <alignment horizontal="right" vertical="center" readingOrder="1"/>
    </xf>
    <xf numFmtId="182" fontId="9" fillId="0" borderId="58" xfId="30" applyNumberFormat="1" applyFont="1" applyFill="1" applyBorder="1" applyAlignment="1">
      <alignment horizontal="right" vertical="center" readingOrder="1"/>
    </xf>
    <xf numFmtId="180" fontId="9" fillId="0" borderId="51" xfId="28" applyNumberFormat="1" applyFont="1" applyFill="1" applyBorder="1" applyAlignment="1">
      <alignment horizontal="right" vertical="center" readingOrder="1"/>
    </xf>
    <xf numFmtId="180" fontId="9" fillId="0" borderId="51" xfId="28" applyNumberFormat="1" applyBorder="1" applyAlignment="1">
      <alignment horizontal="left" vertical="center" wrapText="1"/>
    </xf>
    <xf numFmtId="180" fontId="30" fillId="0" borderId="51" xfId="28" applyNumberFormat="1" applyFont="1" applyFill="1" applyBorder="1" applyAlignment="1">
      <alignment horizontal="right" vertical="center" readingOrder="1"/>
    </xf>
    <xf numFmtId="9" fontId="39" fillId="0" borderId="58" xfId="29" quotePrefix="1" applyFont="1" applyFill="1" applyBorder="1" applyAlignment="1">
      <alignment horizontal="right" vertical="center" readingOrder="1"/>
    </xf>
    <xf numFmtId="180" fontId="9" fillId="0" borderId="6" xfId="28" applyNumberFormat="1" applyFont="1" applyFill="1" applyBorder="1" applyAlignment="1">
      <alignment horizontal="right" vertical="center" readingOrder="1"/>
    </xf>
    <xf numFmtId="3" fontId="9" fillId="0" borderId="55" xfId="28" applyNumberFormat="1" applyFont="1" applyFill="1" applyBorder="1" applyAlignment="1">
      <alignment horizontal="right" vertical="center" readingOrder="1"/>
    </xf>
    <xf numFmtId="3" fontId="30" fillId="2" borderId="55" xfId="28" applyNumberFormat="1" applyFont="1" applyFill="1" applyBorder="1" applyAlignment="1">
      <alignment horizontal="right" vertical="center" readingOrder="1"/>
    </xf>
    <xf numFmtId="3" fontId="40" fillId="2" borderId="55" xfId="28" applyNumberFormat="1" applyFont="1" applyFill="1" applyBorder="1" applyAlignment="1">
      <alignment horizontal="right" vertical="center" readingOrder="1"/>
    </xf>
    <xf numFmtId="3" fontId="40" fillId="0" borderId="55" xfId="28" applyNumberFormat="1" applyFont="1" applyFill="1" applyBorder="1" applyAlignment="1">
      <alignment horizontal="right" vertical="center" readingOrder="1"/>
    </xf>
    <xf numFmtId="9" fontId="39" fillId="0" borderId="55" xfId="29" applyFont="1" applyFill="1" applyBorder="1" applyAlignment="1">
      <alignment horizontal="right" vertical="center" readingOrder="1"/>
    </xf>
    <xf numFmtId="0" fontId="40" fillId="0" borderId="6" xfId="28" applyFont="1" applyBorder="1" applyAlignment="1">
      <alignment horizontal="left" vertical="center" wrapText="1"/>
    </xf>
    <xf numFmtId="180" fontId="39" fillId="0" borderId="0" xfId="28" applyNumberFormat="1" applyFont="1" applyFill="1" applyBorder="1" applyAlignment="1">
      <alignment horizontal="right" vertical="center" readingOrder="1"/>
    </xf>
    <xf numFmtId="9" fontId="39" fillId="0" borderId="0" xfId="29" applyFont="1" applyFill="1" applyBorder="1" applyAlignment="1">
      <alignment horizontal="right" vertical="center" readingOrder="1"/>
    </xf>
    <xf numFmtId="3" fontId="9" fillId="0" borderId="0" xfId="28" applyNumberFormat="1" applyBorder="1">
      <alignment wrapText="1"/>
    </xf>
    <xf numFmtId="0" fontId="9" fillId="0" borderId="63" xfId="28" applyBorder="1">
      <alignment wrapText="1"/>
    </xf>
    <xf numFmtId="0" fontId="9" fillId="0" borderId="64" xfId="28" applyFill="1" applyBorder="1">
      <alignment wrapText="1"/>
    </xf>
    <xf numFmtId="9" fontId="0" fillId="0" borderId="0" xfId="29" applyFont="1">
      <alignment wrapText="1"/>
    </xf>
    <xf numFmtId="0" fontId="9" fillId="0" borderId="66" xfId="28" applyFill="1" applyBorder="1">
      <alignment wrapText="1"/>
    </xf>
    <xf numFmtId="0" fontId="9" fillId="0" borderId="68" xfId="28" applyBorder="1">
      <alignment wrapText="1"/>
    </xf>
    <xf numFmtId="0" fontId="9" fillId="0" borderId="69" xfId="28" applyFill="1" applyBorder="1">
      <alignment wrapText="1"/>
    </xf>
    <xf numFmtId="180" fontId="44" fillId="0" borderId="0" xfId="28" applyNumberFormat="1" applyFont="1" applyFill="1" applyBorder="1" applyAlignment="1">
      <alignment horizontal="right" vertical="center" readingOrder="1"/>
    </xf>
    <xf numFmtId="180" fontId="44" fillId="0" borderId="0" xfId="28" quotePrefix="1" applyNumberFormat="1" applyFont="1" applyFill="1" applyBorder="1" applyAlignment="1">
      <alignment horizontal="right" vertical="center" readingOrder="1"/>
    </xf>
    <xf numFmtId="180" fontId="44" fillId="0" borderId="66" xfId="28" quotePrefix="1" applyNumberFormat="1" applyFont="1" applyFill="1" applyBorder="1" applyAlignment="1">
      <alignment horizontal="right" vertical="center" readingOrder="1"/>
    </xf>
    <xf numFmtId="9" fontId="44" fillId="0" borderId="0" xfId="29" quotePrefix="1" applyFont="1" applyFill="1" applyBorder="1" applyAlignment="1">
      <alignment horizontal="right" vertical="center" readingOrder="1"/>
    </xf>
    <xf numFmtId="0" fontId="44" fillId="0" borderId="0" xfId="28" applyFont="1" applyBorder="1" applyAlignment="1">
      <alignment horizontal="left" vertical="center" wrapText="1"/>
    </xf>
    <xf numFmtId="49" fontId="44" fillId="0" borderId="0" xfId="28" applyNumberFormat="1" applyFont="1" applyAlignment="1">
      <alignment horizontal="center" wrapText="1"/>
    </xf>
    <xf numFmtId="0" fontId="44" fillId="0" borderId="0" xfId="28" applyFont="1">
      <alignment wrapText="1"/>
    </xf>
    <xf numFmtId="180" fontId="44" fillId="0" borderId="68" xfId="28" applyNumberFormat="1" applyFont="1" applyFill="1" applyBorder="1" applyAlignment="1">
      <alignment horizontal="right" vertical="center" readingOrder="1"/>
    </xf>
    <xf numFmtId="180" fontId="44" fillId="0" borderId="68" xfId="28" quotePrefix="1" applyNumberFormat="1" applyFont="1" applyFill="1" applyBorder="1" applyAlignment="1">
      <alignment horizontal="right" vertical="center" readingOrder="1"/>
    </xf>
    <xf numFmtId="180" fontId="44" fillId="0" borderId="69" xfId="28" quotePrefix="1" applyNumberFormat="1" applyFont="1" applyFill="1" applyBorder="1" applyAlignment="1">
      <alignment horizontal="right" vertical="center" readingOrder="1"/>
    </xf>
    <xf numFmtId="0" fontId="9" fillId="0" borderId="0" xfId="28" applyFill="1">
      <alignment wrapText="1"/>
    </xf>
    <xf numFmtId="180" fontId="40" fillId="0" borderId="58" xfId="28" applyNumberFormat="1" applyFont="1" applyFill="1" applyBorder="1" applyAlignment="1">
      <alignment horizontal="right" vertical="center" readingOrder="1"/>
    </xf>
    <xf numFmtId="182" fontId="40" fillId="0" borderId="58" xfId="30" applyNumberFormat="1" applyFont="1" applyFill="1" applyBorder="1" applyAlignment="1">
      <alignment horizontal="right" vertical="center" readingOrder="1"/>
    </xf>
    <xf numFmtId="44" fontId="0" fillId="0" borderId="0" xfId="0" applyNumberFormat="1"/>
    <xf numFmtId="0" fontId="45" fillId="0" borderId="0" xfId="0" applyFont="1"/>
    <xf numFmtId="43" fontId="45" fillId="0" borderId="0" xfId="1" applyFont="1"/>
    <xf numFmtId="0" fontId="46" fillId="0" borderId="0" xfId="28" applyFont="1" applyAlignment="1">
      <alignment horizontal="center" wrapText="1"/>
    </xf>
    <xf numFmtId="44" fontId="45" fillId="0" borderId="0" xfId="0" applyNumberFormat="1" applyFont="1"/>
    <xf numFmtId="44" fontId="4" fillId="0" borderId="0" xfId="2" applyFont="1"/>
    <xf numFmtId="0" fontId="4" fillId="0" borderId="0" xfId="0" applyFont="1" applyAlignment="1">
      <alignment horizontal="right"/>
    </xf>
    <xf numFmtId="0" fontId="9" fillId="0" borderId="4" xfId="28" applyFill="1" applyBorder="1" applyAlignment="1">
      <alignment vertical="top" readingOrder="1"/>
    </xf>
    <xf numFmtId="0" fontId="9" fillId="0" borderId="52" xfId="28" applyFill="1" applyBorder="1" applyAlignment="1">
      <alignment vertical="top" readingOrder="1"/>
    </xf>
    <xf numFmtId="0" fontId="9" fillId="0" borderId="53" xfId="28" applyFill="1" applyBorder="1" applyAlignment="1">
      <alignment vertical="top" readingOrder="1"/>
    </xf>
    <xf numFmtId="178" fontId="37" fillId="12" borderId="54" xfId="28" applyNumberFormat="1" applyFont="1" applyFill="1" applyBorder="1" applyAlignment="1">
      <alignment vertical="center" wrapText="1" readingOrder="1"/>
    </xf>
    <xf numFmtId="178" fontId="38" fillId="11" borderId="52" xfId="28" applyNumberFormat="1" applyFont="1" applyFill="1" applyBorder="1" applyAlignment="1">
      <alignment vertical="center" wrapText="1" readingOrder="1"/>
    </xf>
    <xf numFmtId="0" fontId="30" fillId="0" borderId="0" xfId="28" applyFont="1" applyAlignment="1">
      <alignment wrapText="1"/>
    </xf>
    <xf numFmtId="178" fontId="39" fillId="0" borderId="52" xfId="28" applyNumberFormat="1" applyFont="1" applyFill="1" applyBorder="1" applyAlignment="1">
      <alignment vertical="center" wrapText="1" readingOrder="1"/>
    </xf>
    <xf numFmtId="178" fontId="30" fillId="0" borderId="52" xfId="28" applyNumberFormat="1" applyFont="1" applyFill="1" applyBorder="1" applyAlignment="1">
      <alignment vertical="center" wrapText="1" readingOrder="1"/>
    </xf>
    <xf numFmtId="178" fontId="39" fillId="0" borderId="7" xfId="28" applyNumberFormat="1" applyFont="1" applyFill="1" applyBorder="1" applyAlignment="1">
      <alignment vertical="center" wrapText="1" readingOrder="1"/>
    </xf>
    <xf numFmtId="178" fontId="43" fillId="0" borderId="52" xfId="28" applyNumberFormat="1" applyFont="1" applyFill="1" applyBorder="1" applyAlignment="1">
      <alignment vertical="center" wrapText="1" readingOrder="1"/>
    </xf>
    <xf numFmtId="0" fontId="9" fillId="0" borderId="62" xfId="28" applyBorder="1" applyAlignment="1">
      <alignment wrapText="1"/>
    </xf>
    <xf numFmtId="0" fontId="9" fillId="0" borderId="65" xfId="28" applyBorder="1" applyAlignment="1">
      <alignment wrapText="1"/>
    </xf>
    <xf numFmtId="0" fontId="9" fillId="0" borderId="67" xfId="28" applyBorder="1" applyAlignment="1">
      <alignment wrapText="1"/>
    </xf>
    <xf numFmtId="178" fontId="9" fillId="0" borderId="62" xfId="28" applyNumberFormat="1" applyFont="1" applyFill="1" applyBorder="1" applyAlignment="1">
      <alignment vertical="center" wrapText="1" readingOrder="1"/>
    </xf>
    <xf numFmtId="178" fontId="9" fillId="0" borderId="67" xfId="28" applyNumberFormat="1" applyFont="1" applyFill="1" applyBorder="1" applyAlignment="1">
      <alignment vertical="center" wrapText="1" readingOrder="1"/>
    </xf>
    <xf numFmtId="178" fontId="30" fillId="0" borderId="52" xfId="28" applyNumberFormat="1" applyFont="1" applyFill="1" applyBorder="1" applyAlignment="1">
      <alignment horizontal="left" vertical="center" wrapText="1" readingOrder="1"/>
    </xf>
    <xf numFmtId="44" fontId="13" fillId="4" borderId="9" xfId="6" applyFont="1" applyFill="1" applyBorder="1"/>
    <xf numFmtId="0" fontId="4" fillId="10" borderId="0" xfId="0" applyFont="1" applyFill="1"/>
    <xf numFmtId="0" fontId="0" fillId="10" borderId="0" xfId="0" applyFill="1"/>
    <xf numFmtId="43" fontId="0" fillId="10" borderId="0" xfId="1" applyFont="1" applyFill="1"/>
    <xf numFmtId="0" fontId="40" fillId="0" borderId="51" xfId="28" applyFont="1" applyBorder="1" applyAlignment="1">
      <alignment wrapText="1"/>
    </xf>
    <xf numFmtId="164" fontId="15" fillId="0" borderId="9" xfId="3" applyNumberFormat="1" applyFont="1" applyBorder="1"/>
    <xf numFmtId="9" fontId="9" fillId="0" borderId="0" xfId="31" applyFont="1"/>
    <xf numFmtId="44" fontId="14" fillId="3" borderId="9" xfId="3" applyNumberFormat="1" applyFont="1" applyFill="1" applyBorder="1"/>
    <xf numFmtId="3" fontId="38" fillId="3" borderId="57" xfId="28" applyNumberFormat="1" applyFont="1" applyFill="1" applyBorder="1" applyAlignment="1">
      <alignment horizontal="right" vertical="center" wrapText="1" readingOrder="1"/>
    </xf>
    <xf numFmtId="0" fontId="30" fillId="0" borderId="0" xfId="28" applyFont="1" applyAlignment="1">
      <alignment vertical="center" wrapText="1"/>
    </xf>
    <xf numFmtId="180" fontId="39" fillId="0" borderId="58" xfId="28" applyNumberFormat="1" applyFont="1" applyFill="1" applyBorder="1" applyAlignment="1">
      <alignment horizontal="right" vertical="center"/>
    </xf>
    <xf numFmtId="180" fontId="9" fillId="2" borderId="58" xfId="28" applyNumberFormat="1" applyFont="1" applyFill="1" applyBorder="1" applyAlignment="1">
      <alignment horizontal="right" vertical="center"/>
    </xf>
    <xf numFmtId="0" fontId="40" fillId="0" borderId="51" xfId="28" applyFont="1" applyBorder="1" applyAlignment="1">
      <alignment vertical="center" wrapText="1"/>
    </xf>
    <xf numFmtId="0" fontId="9" fillId="0" borderId="0" xfId="28" applyAlignment="1">
      <alignment vertical="center" wrapText="1"/>
    </xf>
    <xf numFmtId="178" fontId="9" fillId="0" borderId="0" xfId="28" applyNumberFormat="1">
      <alignment wrapText="1"/>
    </xf>
    <xf numFmtId="0" fontId="49" fillId="0" borderId="0" xfId="28" applyFont="1">
      <alignment wrapText="1"/>
    </xf>
    <xf numFmtId="183" fontId="49" fillId="0" borderId="0" xfId="2" applyNumberFormat="1" applyFont="1" applyAlignment="1">
      <alignment wrapText="1"/>
    </xf>
    <xf numFmtId="2" fontId="13" fillId="3" borderId="9" xfId="3" applyNumberFormat="1" applyFont="1" applyFill="1" applyBorder="1"/>
    <xf numFmtId="9" fontId="13" fillId="0" borderId="9" xfId="31" applyFont="1" applyBorder="1"/>
    <xf numFmtId="44" fontId="50" fillId="0" borderId="0" xfId="2" applyFont="1" applyBorder="1"/>
    <xf numFmtId="3" fontId="9" fillId="0" borderId="0" xfId="28" applyNumberFormat="1">
      <alignment wrapText="1"/>
    </xf>
    <xf numFmtId="182" fontId="51" fillId="0" borderId="58" xfId="30" applyNumberFormat="1" applyFont="1" applyFill="1" applyBorder="1" applyAlignment="1">
      <alignment horizontal="right" vertical="center" readingOrder="1"/>
    </xf>
    <xf numFmtId="180" fontId="51" fillId="0" borderId="58" xfId="28" applyNumberFormat="1" applyFont="1" applyFill="1" applyBorder="1" applyAlignment="1">
      <alignment horizontal="right" vertical="center" readingOrder="1"/>
    </xf>
    <xf numFmtId="9" fontId="51" fillId="0" borderId="58" xfId="29" applyFont="1" applyFill="1" applyBorder="1" applyAlignment="1">
      <alignment horizontal="right" vertical="center" readingOrder="1"/>
    </xf>
    <xf numFmtId="0" fontId="51" fillId="0" borderId="51" xfId="28" applyFont="1" applyBorder="1" applyAlignment="1">
      <alignment horizontal="left" vertical="center" wrapText="1"/>
    </xf>
    <xf numFmtId="182" fontId="51" fillId="14" borderId="58" xfId="30" applyNumberFormat="1" applyFont="1" applyFill="1" applyBorder="1" applyAlignment="1">
      <alignment horizontal="right" vertical="center" readingOrder="1"/>
    </xf>
    <xf numFmtId="3" fontId="38" fillId="14" borderId="58" xfId="28" applyNumberFormat="1" applyFont="1" applyFill="1" applyBorder="1" applyAlignment="1">
      <alignment horizontal="right" vertical="center" wrapText="1" readingOrder="1"/>
    </xf>
    <xf numFmtId="0" fontId="14" fillId="3" borderId="0" xfId="3" quotePrefix="1" applyFont="1" applyFill="1" applyBorder="1"/>
    <xf numFmtId="0" fontId="14" fillId="3" borderId="0" xfId="6" applyNumberFormat="1" applyFont="1" applyFill="1" applyBorder="1"/>
    <xf numFmtId="0" fontId="0" fillId="15" borderId="0" xfId="0" applyFill="1"/>
    <xf numFmtId="0" fontId="11" fillId="0" borderId="0" xfId="0" applyFont="1" applyFill="1" applyBorder="1"/>
    <xf numFmtId="14" fontId="0" fillId="0" borderId="0" xfId="0" applyNumberFormat="1"/>
    <xf numFmtId="0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Fill="1" applyBorder="1"/>
    <xf numFmtId="0" fontId="52" fillId="0" borderId="70" xfId="0" applyFont="1" applyBorder="1"/>
    <xf numFmtId="0" fontId="53" fillId="0" borderId="70" xfId="0" applyFont="1" applyBorder="1"/>
    <xf numFmtId="0" fontId="53" fillId="0" borderId="0" xfId="0" applyFont="1"/>
    <xf numFmtId="0" fontId="53" fillId="0" borderId="70" xfId="0" applyFont="1" applyFill="1" applyBorder="1" applyAlignment="1">
      <alignment horizontal="center" vertical="center"/>
    </xf>
    <xf numFmtId="185" fontId="53" fillId="0" borderId="7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right"/>
    </xf>
    <xf numFmtId="168" fontId="53" fillId="13" borderId="0" xfId="8" applyNumberFormat="1" applyFont="1" applyFill="1" applyBorder="1">
      <alignment horizontal="right"/>
    </xf>
    <xf numFmtId="0" fontId="53" fillId="0" borderId="0" xfId="0" applyFont="1" applyFill="1"/>
    <xf numFmtId="168" fontId="53" fillId="0" borderId="0" xfId="8" applyNumberFormat="1" applyFont="1" applyFill="1" applyBorder="1">
      <alignment horizontal="right"/>
    </xf>
    <xf numFmtId="0" fontId="53" fillId="13" borderId="0" xfId="0" applyFont="1" applyFill="1"/>
    <xf numFmtId="1" fontId="53" fillId="0" borderId="70" xfId="0" applyNumberFormat="1" applyFont="1" applyFill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5" borderId="0" xfId="0" applyFont="1" applyFill="1"/>
    <xf numFmtId="185" fontId="54" fillId="0" borderId="70" xfId="0" applyNumberFormat="1" applyFont="1" applyFill="1" applyBorder="1" applyAlignment="1">
      <alignment horizontal="center" vertical="center"/>
    </xf>
    <xf numFmtId="14" fontId="53" fillId="0" borderId="70" xfId="0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15" fontId="53" fillId="6" borderId="0" xfId="0" applyNumberFormat="1" applyFont="1" applyFill="1" applyBorder="1" applyAlignment="1">
      <alignment horizontal="right"/>
    </xf>
    <xf numFmtId="173" fontId="53" fillId="0" borderId="0" xfId="23" applyFont="1" applyFill="1">
      <alignment horizontal="left" indent="1"/>
    </xf>
    <xf numFmtId="186" fontId="52" fillId="5" borderId="0" xfId="4" applyNumberFormat="1" applyFont="1" applyFill="1" applyBorder="1" applyAlignment="1">
      <alignment horizontal="right"/>
    </xf>
    <xf numFmtId="186" fontId="54" fillId="0" borderId="0" xfId="4" applyNumberFormat="1" applyFont="1" applyFill="1" applyBorder="1" applyAlignment="1">
      <alignment horizontal="right"/>
    </xf>
    <xf numFmtId="186" fontId="53" fillId="0" borderId="0" xfId="0" applyNumberFormat="1" applyFont="1"/>
    <xf numFmtId="186" fontId="53" fillId="0" borderId="0" xfId="4" applyNumberFormat="1" applyFont="1" applyFill="1" applyBorder="1" applyAlignment="1">
      <alignment horizontal="right"/>
    </xf>
    <xf numFmtId="173" fontId="53" fillId="6" borderId="0" xfId="23" applyFont="1" applyAlignment="1">
      <alignment horizontal="left" wrapText="1" indent="1"/>
    </xf>
    <xf numFmtId="184" fontId="53" fillId="0" borderId="0" xfId="0" applyNumberFormat="1" applyFont="1"/>
    <xf numFmtId="15" fontId="53" fillId="0" borderId="0" xfId="0" applyNumberFormat="1" applyFont="1" applyFill="1" applyBorder="1" applyAlignment="1">
      <alignment horizontal="right"/>
    </xf>
    <xf numFmtId="173" fontId="9" fillId="0" borderId="0" xfId="23" applyFill="1">
      <alignment horizontal="left" indent="1"/>
    </xf>
    <xf numFmtId="10" fontId="0" fillId="0" borderId="0" xfId="0" applyNumberFormat="1"/>
    <xf numFmtId="0" fontId="9" fillId="0" borderId="0" xfId="0" applyFont="1"/>
    <xf numFmtId="0" fontId="12" fillId="5" borderId="71" xfId="0" applyFont="1" applyFill="1" applyBorder="1"/>
    <xf numFmtId="0" fontId="12" fillId="5" borderId="72" xfId="0" applyFont="1" applyFill="1" applyBorder="1"/>
    <xf numFmtId="0" fontId="12" fillId="5" borderId="72" xfId="0" applyFont="1" applyFill="1" applyBorder="1" applyAlignment="1">
      <alignment horizontal="center" vertical="center"/>
    </xf>
    <xf numFmtId="0" fontId="12" fillId="5" borderId="73" xfId="0" applyFont="1" applyFill="1" applyBorder="1"/>
    <xf numFmtId="173" fontId="11" fillId="0" borderId="9" xfId="7" applyNumberFormat="1" applyFont="1" applyFill="1" applyBorder="1" applyAlignment="1">
      <alignment horizontal="center" vertical="center"/>
    </xf>
    <xf numFmtId="173" fontId="11" fillId="0" borderId="9" xfId="7" applyNumberFormat="1" applyFont="1" applyFill="1" applyBorder="1" applyAlignment="1">
      <alignment horizontal="center" vertical="center" wrapText="1"/>
    </xf>
    <xf numFmtId="1" fontId="11" fillId="0" borderId="9" xfId="7" applyNumberFormat="1" applyFont="1" applyFill="1" applyBorder="1" applyAlignment="1">
      <alignment horizontal="center" vertical="center"/>
    </xf>
    <xf numFmtId="173" fontId="55" fillId="0" borderId="9" xfId="7" applyNumberFormat="1" applyFont="1" applyFill="1" applyBorder="1" applyAlignment="1">
      <alignment horizontal="left" vertical="center"/>
    </xf>
    <xf numFmtId="173" fontId="55" fillId="0" borderId="9" xfId="7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 vertical="center" wrapText="1"/>
    </xf>
    <xf numFmtId="187" fontId="56" fillId="5" borderId="9" xfId="0" applyNumberFormat="1" applyFont="1" applyFill="1" applyBorder="1" applyAlignment="1">
      <alignment horizontal="center" vertical="center"/>
    </xf>
    <xf numFmtId="165" fontId="56" fillId="5" borderId="9" xfId="5" applyNumberFormat="1" applyFont="1" applyFill="1" applyBorder="1" applyAlignment="1">
      <alignment horizontal="center" vertical="center"/>
    </xf>
    <xf numFmtId="165" fontId="9" fillId="0" borderId="9" xfId="5" applyNumberFormat="1" applyFont="1" applyFill="1" applyBorder="1" applyAlignment="1">
      <alignment horizontal="right"/>
    </xf>
    <xf numFmtId="187" fontId="11" fillId="0" borderId="0" xfId="0" applyNumberFormat="1" applyFont="1"/>
    <xf numFmtId="0" fontId="55" fillId="0" borderId="9" xfId="0" applyFont="1" applyBorder="1" applyAlignment="1">
      <alignment horizontal="left"/>
    </xf>
    <xf numFmtId="187" fontId="55" fillId="5" borderId="9" xfId="0" applyNumberFormat="1" applyFont="1" applyFill="1" applyBorder="1" applyAlignment="1">
      <alignment horizontal="center" vertical="center"/>
    </xf>
    <xf numFmtId="173" fontId="53" fillId="0" borderId="9" xfId="7" applyNumberFormat="1" applyFont="1" applyFill="1" applyBorder="1">
      <alignment horizontal="right"/>
    </xf>
    <xf numFmtId="0" fontId="55" fillId="0" borderId="9" xfId="0" applyFont="1" applyBorder="1" applyAlignment="1">
      <alignment horizontal="center"/>
    </xf>
    <xf numFmtId="173" fontId="9" fillId="0" borderId="9" xfId="7" applyNumberFormat="1" applyFont="1" applyFill="1" applyBorder="1">
      <alignment horizontal="right"/>
    </xf>
    <xf numFmtId="0" fontId="56" fillId="0" borderId="9" xfId="0" applyFont="1" applyBorder="1" applyAlignment="1">
      <alignment horizontal="left"/>
    </xf>
    <xf numFmtId="165" fontId="11" fillId="0" borderId="9" xfId="5" applyNumberFormat="1" applyFont="1" applyFill="1" applyBorder="1" applyAlignment="1">
      <alignment horizontal="right"/>
    </xf>
    <xf numFmtId="0" fontId="11" fillId="0" borderId="9" xfId="0" applyFont="1" applyBorder="1"/>
    <xf numFmtId="173" fontId="9" fillId="5" borderId="9" xfId="7" applyNumberFormat="1" applyFont="1" applyFill="1" applyBorder="1">
      <alignment horizontal="right"/>
    </xf>
    <xf numFmtId="173" fontId="9" fillId="5" borderId="9" xfId="7" applyNumberFormat="1" applyFont="1" applyFill="1" applyBorder="1" applyAlignment="1">
      <alignment horizontal="center" vertical="center"/>
    </xf>
    <xf numFmtId="0" fontId="9" fillId="0" borderId="9" xfId="0" applyFont="1" applyBorder="1"/>
    <xf numFmtId="173" fontId="56" fillId="5" borderId="9" xfId="7" applyNumberFormat="1" applyFont="1" applyFill="1" applyBorder="1">
      <alignment horizontal="right"/>
    </xf>
    <xf numFmtId="173" fontId="56" fillId="5" borderId="9" xfId="7" applyNumberFormat="1" applyFont="1" applyFill="1" applyBorder="1" applyAlignment="1">
      <alignment horizontal="center" vertical="center"/>
    </xf>
    <xf numFmtId="0" fontId="57" fillId="0" borderId="9" xfId="0" applyFont="1" applyBorder="1" applyAlignment="1">
      <alignment horizontal="left"/>
    </xf>
    <xf numFmtId="9" fontId="56" fillId="5" borderId="9" xfId="4" applyFont="1" applyFill="1" applyBorder="1" applyAlignment="1">
      <alignment horizontal="center" vertical="center"/>
    </xf>
    <xf numFmtId="9" fontId="58" fillId="0" borderId="9" xfId="4" applyFont="1" applyFill="1" applyBorder="1" applyAlignment="1">
      <alignment horizontal="right"/>
    </xf>
    <xf numFmtId="0" fontId="56" fillId="0" borderId="0" xfId="0" applyFont="1" applyBorder="1" applyAlignment="1">
      <alignment horizontal="left" vertical="center" wrapText="1"/>
    </xf>
    <xf numFmtId="173" fontId="56" fillId="5" borderId="0" xfId="7" applyNumberFormat="1" applyFont="1" applyFill="1" applyBorder="1">
      <alignment horizontal="right"/>
    </xf>
    <xf numFmtId="9" fontId="9" fillId="0" borderId="0" xfId="4" applyFont="1" applyFill="1" applyBorder="1" applyAlignment="1">
      <alignment horizontal="center" vertical="center"/>
    </xf>
    <xf numFmtId="9" fontId="58" fillId="0" borderId="0" xfId="4" applyFont="1" applyFill="1" applyBorder="1" applyAlignment="1">
      <alignment horizontal="right"/>
    </xf>
    <xf numFmtId="0" fontId="9" fillId="0" borderId="0" xfId="0" applyFont="1" applyBorder="1"/>
    <xf numFmtId="173" fontId="9" fillId="0" borderId="0" xfId="7" applyNumberFormat="1" applyFont="1" applyFill="1" applyBorder="1">
      <alignment horizontal="right"/>
    </xf>
    <xf numFmtId="0" fontId="56" fillId="0" borderId="0" xfId="0" applyFont="1" applyBorder="1" applyAlignment="1">
      <alignment horizontal="left"/>
    </xf>
    <xf numFmtId="165" fontId="9" fillId="0" borderId="0" xfId="4" applyNumberFormat="1" applyFont="1" applyFill="1" applyBorder="1" applyAlignment="1">
      <alignment horizontal="center" vertical="center"/>
    </xf>
    <xf numFmtId="165" fontId="9" fillId="0" borderId="0" xfId="0" applyNumberFormat="1" applyFont="1"/>
    <xf numFmtId="0" fontId="56" fillId="0" borderId="0" xfId="0" applyFont="1" applyFill="1" applyBorder="1" applyAlignment="1">
      <alignment horizontal="left"/>
    </xf>
    <xf numFmtId="165" fontId="59" fillId="0" borderId="0" xfId="4" applyNumberFormat="1" applyFont="1" applyFill="1" applyBorder="1" applyAlignment="1">
      <alignment horizontal="right"/>
    </xf>
    <xf numFmtId="165" fontId="56" fillId="0" borderId="0" xfId="0" applyNumberFormat="1" applyFont="1" applyBorder="1" applyAlignment="1">
      <alignment horizontal="left" vertical="center" wrapText="1"/>
    </xf>
    <xf numFmtId="173" fontId="58" fillId="0" borderId="0" xfId="7" applyNumberFormat="1" applyFont="1" applyFill="1" applyBorder="1">
      <alignment horizontal="right"/>
    </xf>
    <xf numFmtId="0" fontId="9" fillId="0" borderId="0" xfId="0" applyFont="1" applyAlignment="1">
      <alignment horizontal="center" vertical="center" wrapText="1"/>
    </xf>
    <xf numFmtId="187" fontId="0" fillId="0" borderId="0" xfId="0" applyNumberFormat="1"/>
    <xf numFmtId="0" fontId="0" fillId="0" borderId="0" xfId="0" applyFill="1"/>
    <xf numFmtId="0" fontId="9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9" fillId="0" borderId="9" xfId="0" applyFont="1" applyFill="1" applyBorder="1" applyAlignment="1">
      <alignment horizontal="left"/>
    </xf>
    <xf numFmtId="10" fontId="0" fillId="0" borderId="9" xfId="0" applyNumberFormat="1" applyFill="1" applyBorder="1"/>
    <xf numFmtId="0" fontId="11" fillId="0" borderId="32" xfId="0" applyFont="1" applyBorder="1"/>
    <xf numFmtId="165" fontId="0" fillId="0" borderId="9" xfId="0" applyNumberFormat="1" applyBorder="1"/>
    <xf numFmtId="176" fontId="0" fillId="0" borderId="9" xfId="0" applyNumberFormat="1" applyBorder="1"/>
    <xf numFmtId="0" fontId="9" fillId="0" borderId="9" xfId="0" applyFont="1" applyBorder="1" applyAlignment="1">
      <alignment horizontal="left"/>
    </xf>
    <xf numFmtId="0" fontId="0" fillId="0" borderId="9" xfId="0" applyBorder="1"/>
    <xf numFmtId="187" fontId="0" fillId="0" borderId="40" xfId="0" applyNumberFormat="1" applyBorder="1"/>
    <xf numFmtId="187" fontId="0" fillId="0" borderId="9" xfId="0" applyNumberFormat="1" applyBorder="1"/>
    <xf numFmtId="10" fontId="9" fillId="5" borderId="9" xfId="16" applyNumberFormat="1" applyFont="1" applyFill="1" applyBorder="1"/>
    <xf numFmtId="8" fontId="0" fillId="0" borderId="40" xfId="0" applyNumberFormat="1" applyBorder="1"/>
    <xf numFmtId="8" fontId="0" fillId="0" borderId="9" xfId="0" applyNumberFormat="1" applyBorder="1"/>
    <xf numFmtId="43" fontId="0" fillId="0" borderId="9" xfId="0" applyNumberFormat="1" applyBorder="1"/>
    <xf numFmtId="176" fontId="0" fillId="0" borderId="40" xfId="0" applyNumberFormat="1" applyBorder="1"/>
    <xf numFmtId="187" fontId="0" fillId="0" borderId="0" xfId="0" applyNumberFormat="1" applyBorder="1"/>
    <xf numFmtId="173" fontId="58" fillId="0" borderId="9" xfId="7" applyNumberFormat="1" applyFont="1" applyFill="1" applyBorder="1">
      <alignment horizontal="right"/>
    </xf>
    <xf numFmtId="10" fontId="9" fillId="0" borderId="9" xfId="0" applyNumberFormat="1" applyFont="1" applyFill="1" applyBorder="1" applyAlignment="1">
      <alignment horizontal="left" vertical="center"/>
    </xf>
    <xf numFmtId="0" fontId="60" fillId="0" borderId="0" xfId="0" applyFont="1" applyFill="1" applyBorder="1"/>
    <xf numFmtId="8" fontId="0" fillId="0" borderId="0" xfId="0" applyNumberFormat="1" applyBorder="1"/>
    <xf numFmtId="165" fontId="0" fillId="0" borderId="0" xfId="0" applyNumberFormat="1"/>
    <xf numFmtId="165" fontId="0" fillId="0" borderId="0" xfId="5" applyNumberFormat="1" applyFont="1"/>
    <xf numFmtId="9" fontId="56" fillId="5" borderId="9" xfId="31" applyFont="1" applyFill="1" applyBorder="1" applyAlignment="1">
      <alignment horizontal="center" vertical="center"/>
    </xf>
    <xf numFmtId="0" fontId="0" fillId="0" borderId="9" xfId="31" applyNumberFormat="1" applyFont="1" applyFill="1" applyBorder="1"/>
    <xf numFmtId="43" fontId="3" fillId="0" borderId="0" xfId="1" applyFont="1"/>
    <xf numFmtId="0" fontId="10" fillId="3" borderId="0" xfId="3" applyFont="1" applyFill="1" applyAlignment="1">
      <alignment horizontal="left" vertical="center"/>
    </xf>
    <xf numFmtId="178" fontId="31" fillId="11" borderId="0" xfId="28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4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32" xfId="0" applyFont="1" applyFill="1" applyBorder="1" applyAlignment="1">
      <alignment horizontal="left"/>
    </xf>
    <xf numFmtId="0" fontId="11" fillId="3" borderId="40" xfId="0" applyFont="1" applyFill="1" applyBorder="1" applyAlignment="1">
      <alignment horizontal="left"/>
    </xf>
    <xf numFmtId="0" fontId="11" fillId="3" borderId="65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2">
    <cellStyle name="# ###" xfId="7"/>
    <cellStyle name="# ### 2" xfId="8"/>
    <cellStyle name="# ### 3" xfId="9"/>
    <cellStyle name="# ### 4" xfId="10"/>
    <cellStyle name="#,##%" xfId="11"/>
    <cellStyle name="#,##% 2" xfId="12"/>
    <cellStyle name="Date" xfId="13"/>
    <cellStyle name="Euro" xfId="14"/>
    <cellStyle name="Euro 2" xfId="15"/>
    <cellStyle name="Milliers" xfId="1" builtinId="3"/>
    <cellStyle name="Milliers 2" xfId="5"/>
    <cellStyle name="Milliers 3" xfId="30"/>
    <cellStyle name="Milliers 5" xfId="16"/>
    <cellStyle name="Monétaire" xfId="2" builtinId="4"/>
    <cellStyle name="Monétaire 2" xfId="6"/>
    <cellStyle name="Normal" xfId="0" builtinId="0"/>
    <cellStyle name="Normal 2" xfId="3"/>
    <cellStyle name="Normal 3" xfId="17"/>
    <cellStyle name="Normal 4" xfId="28"/>
    <cellStyle name="Pourcentage" xfId="31" builtinId="5"/>
    <cellStyle name="Pourcentage 2" xfId="4"/>
    <cellStyle name="Pourcentage 3" xfId="18"/>
    <cellStyle name="Pourcentage 4" xfId="29"/>
    <cellStyle name="Ratio" xfId="19"/>
    <cellStyle name="Ratio 2" xfId="20"/>
    <cellStyle name="T2" xfId="21"/>
    <cellStyle name="T2 '" xfId="22"/>
    <cellStyle name="T3" xfId="23"/>
    <cellStyle name="T3'" xfId="24"/>
    <cellStyle name="T4" xfId="25"/>
    <cellStyle name="T5" xfId="26"/>
    <cellStyle name="T6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'F4'!$A$186</c:f>
              <c:strCache>
                <c:ptCount val="1"/>
                <c:pt idx="0">
                  <c:v>Personnel administratif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'F4'!$C$186:$E$186</c:f>
              <c:numCache>
                <c:formatCode>_(* #,##0.00_);_(* \(#,##0.00\);_(* "-"??_);_(@_)</c:formatCode>
                <c:ptCount val="3"/>
                <c:pt idx="0">
                  <c:v>6328.5627448051955</c:v>
                </c:pt>
                <c:pt idx="1">
                  <c:v>25820.535998805197</c:v>
                </c:pt>
                <c:pt idx="2">
                  <c:v>26336.946718781299</c:v>
                </c:pt>
              </c:numCache>
            </c:numRef>
          </c:val>
        </c:ser>
        <c:ser>
          <c:idx val="1"/>
          <c:order val="1"/>
          <c:tx>
            <c:strRef>
              <c:f>'F4'!$A$187</c:f>
              <c:strCache>
                <c:ptCount val="1"/>
                <c:pt idx="0">
                  <c:v>Honoraires - CAC 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'F4'!$C$187:$E$187</c:f>
              <c:numCache>
                <c:formatCode>_(* #,##0.00_);_(* \(#,##0.00\);_(* "-"??_);_(@_)</c:formatCode>
                <c:ptCount val="3"/>
                <c:pt idx="0">
                  <c:v>4800</c:v>
                </c:pt>
                <c:pt idx="1">
                  <c:v>4800</c:v>
                </c:pt>
                <c:pt idx="2">
                  <c:v>4800</c:v>
                </c:pt>
              </c:numCache>
            </c:numRef>
          </c:val>
        </c:ser>
        <c:ser>
          <c:idx val="2"/>
          <c:order val="2"/>
          <c:tx>
            <c:strRef>
              <c:f>'F4'!$A$188</c:f>
              <c:strCache>
                <c:ptCount val="1"/>
                <c:pt idx="0">
                  <c:v>Expert comptable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'F4'!$C$188:$E$188</c:f>
              <c:numCache>
                <c:formatCode>_(* #,##0.00_);_(* \(#,##0.00\);_(* "-"??_);_(@_)</c:formatCode>
                <c:ptCount val="3"/>
                <c:pt idx="0">
                  <c:v>7451</c:v>
                </c:pt>
                <c:pt idx="1">
                  <c:v>14902</c:v>
                </c:pt>
                <c:pt idx="2">
                  <c:v>14902</c:v>
                </c:pt>
              </c:numCache>
            </c:numRef>
          </c:val>
        </c:ser>
        <c:ser>
          <c:idx val="3"/>
          <c:order val="3"/>
          <c:tx>
            <c:strRef>
              <c:f>'F4'!$A$189</c:f>
              <c:strCache>
                <c:ptCount val="1"/>
                <c:pt idx="0">
                  <c:v>Honoraires - Etudes - Avocat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'F4'!$C$189:$E$189</c:f>
              <c:numCache>
                <c:formatCode>_(* #,##0.00_);_(* \(#,##0.00\);_(* "-"??_);_(@_)</c:formatCode>
                <c:ptCount val="3"/>
                <c:pt idx="0">
                  <c:v>9610</c:v>
                </c:pt>
                <c:pt idx="1">
                  <c:v>17220</c:v>
                </c:pt>
                <c:pt idx="2">
                  <c:v>17220</c:v>
                </c:pt>
              </c:numCache>
            </c:numRef>
          </c:val>
        </c:ser>
        <c:ser>
          <c:idx val="4"/>
          <c:order val="4"/>
          <c:tx>
            <c:strRef>
              <c:f>'F4'!$A$190</c:f>
              <c:strCache>
                <c:ptCount val="1"/>
                <c:pt idx="0">
                  <c:v>Matériel, logiciels  et fournitures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'F4'!$C$190:$E$190</c:f>
              <c:numCache>
                <c:formatCode>_(* #,##0.00_);_(* \(#,##0.00\);_(* "-"??_);_(@_)</c:formatCode>
                <c:ptCount val="3"/>
                <c:pt idx="0">
                  <c:v>1975</c:v>
                </c:pt>
                <c:pt idx="1">
                  <c:v>1600</c:v>
                </c:pt>
                <c:pt idx="2">
                  <c:v>1600</c:v>
                </c:pt>
              </c:numCache>
            </c:numRef>
          </c:val>
        </c:ser>
        <c:ser>
          <c:idx val="5"/>
          <c:order val="5"/>
          <c:tx>
            <c:strRef>
              <c:f>'F4'!$A$191</c:f>
              <c:strCache>
                <c:ptCount val="1"/>
                <c:pt idx="0">
                  <c:v>Mtériel de transport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'F4'!$C$191:$E$191</c:f>
              <c:numCache>
                <c:formatCode>_(* #,##0.00_);_(* \(#,##0.00\);_(* "-"??_);_(@_)</c:formatCode>
                <c:ptCount val="3"/>
                <c:pt idx="1">
                  <c:v>2000</c:v>
                </c:pt>
                <c:pt idx="2">
                  <c:v>4000</c:v>
                </c:pt>
              </c:numCache>
            </c:numRef>
          </c:val>
        </c:ser>
        <c:ser>
          <c:idx val="6"/>
          <c:order val="6"/>
          <c:tx>
            <c:strRef>
              <c:f>'F4'!$A$192</c:f>
              <c:strCache>
                <c:ptCount val="1"/>
                <c:pt idx="0">
                  <c:v>Carburants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'F4'!$C$192:$E$192</c:f>
              <c:numCache>
                <c:formatCode>_(* #,##0.00_);_(* \(#,##0.00\);_(* "-"??_);_(@_)</c:formatCode>
                <c:ptCount val="3"/>
                <c:pt idx="0">
                  <c:v>600</c:v>
                </c:pt>
                <c:pt idx="1">
                  <c:v>1120</c:v>
                </c:pt>
                <c:pt idx="2">
                  <c:v>2396.8000000000002</c:v>
                </c:pt>
              </c:numCache>
            </c:numRef>
          </c:val>
        </c:ser>
        <c:ser>
          <c:idx val="7"/>
          <c:order val="7"/>
          <c:tx>
            <c:strRef>
              <c:f>'F4'!$A$193</c:f>
              <c:strCache>
                <c:ptCount val="1"/>
                <c:pt idx="0">
                  <c:v>Assurances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'F4'!$C$193:$E$193</c:f>
              <c:numCache>
                <c:formatCode>_(* #,##0.00_);_(* \(#,##0.00\);_(* "-"??_);_(@_)</c:formatCode>
                <c:ptCount val="3"/>
                <c:pt idx="0">
                  <c:v>1015</c:v>
                </c:pt>
                <c:pt idx="1">
                  <c:v>2030.2249999999999</c:v>
                </c:pt>
                <c:pt idx="2">
                  <c:v>4060.6783749999995</c:v>
                </c:pt>
              </c:numCache>
            </c:numRef>
          </c:val>
        </c:ser>
        <c:ser>
          <c:idx val="8"/>
          <c:order val="8"/>
          <c:tx>
            <c:strRef>
              <c:f>'F4'!$A$195</c:f>
              <c:strCache>
                <c:ptCount val="1"/>
                <c:pt idx="0">
                  <c:v>Impôts et taxes</c:v>
                </c:pt>
              </c:strCache>
            </c:strRef>
          </c:tx>
          <c:invertIfNegative val="0"/>
          <c:cat>
            <c:numRef>
              <c:f>'F4'!$C$4:$E$4</c:f>
              <c:numCache>
                <c:formatCode>m/d/yyyy</c:formatCode>
                <c:ptCount val="3"/>
                <c:pt idx="0">
                  <c:v>43646</c:v>
                </c:pt>
                <c:pt idx="1">
                  <c:v>44012</c:v>
                </c:pt>
                <c:pt idx="2">
                  <c:v>44377</c:v>
                </c:pt>
              </c:numCache>
            </c:numRef>
          </c:cat>
          <c:val>
            <c:numRef>
              <c:f>'F4'!$C$195:$E$195</c:f>
              <c:numCache>
                <c:formatCode>_(* #,##0.00_);_(* \(#,##0.00\);_(* "-"??_);_(@_)</c:formatCode>
                <c:ptCount val="3"/>
                <c:pt idx="0">
                  <c:v>1200</c:v>
                </c:pt>
                <c:pt idx="1">
                  <c:v>2300</c:v>
                </c:pt>
                <c:pt idx="2">
                  <c:v>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869952"/>
        <c:axId val="248058944"/>
      </c:barChart>
      <c:dateAx>
        <c:axId val="247869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8058944"/>
        <c:crosses val="autoZero"/>
        <c:auto val="1"/>
        <c:lblOffset val="100"/>
        <c:baseTimeUnit val="years"/>
      </c:dateAx>
      <c:valAx>
        <c:axId val="2480589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247869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180974</xdr:colOff>
      <xdr:row>178</xdr:row>
      <xdr:rowOff>123825</xdr:rowOff>
    </xdr:from>
    <xdr:to>
      <xdr:col>23</xdr:col>
      <xdr:colOff>314324</xdr:colOff>
      <xdr:row>206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repeaux/AppData/Local/Microsoft/Windows/INetCache/Content.Outlook/SU77FRMR/Documents%20and%20Settings/vsalle/Mes%20documents/Clients/2008/CAR%20TRAMWAY/dernier%20mod&#232;le%202006/REIMS-F4-0201-210606_VF-MA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repeaux/AppData/Local/Microsoft/Windows/INetCache/Content.Outlook/SU77FRMR/Documents%20and%20Settings/Vfuoc/Local%20Settings/Temporary%20Internet%20Files/OLKFC/Mod&#233;lisation/CG%20LOIRET-F1-001-19102008_Vi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repeaux/AppData/Local/Microsoft/Windows/INetCache/Content.Outlook/SU77FRMR/Business%20Plan/20170606%20BUSINESS%20PLAN%20SPL%20SCENARIO%202%20v9%20transfert%20bois%20-%20sans%20directeur%20-%20autre%20proj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repeaux/Documents/_TRAVAIL%20EN%20COURS/SPL/Plan%20d'affaire/20180326%20BUSINESS%20PLAN%20SPL%20transfert%20bois%20-%20sans%20directeur%20-%20avec%20autre%20projet%20Ploeme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Résultats"/>
      <sheetName val="Hyp"/>
      <sheetName val="Scenario Manager"/>
      <sheetName val="SFE_RM"/>
      <sheetName val="Flag"/>
      <sheetName val="Capex"/>
      <sheetName val="Amort"/>
      <sheetName val="NTF"/>
      <sheetName val="Dette"/>
      <sheetName val="EchDette"/>
      <sheetName val="Opex"/>
      <sheetName val="Recettes"/>
      <sheetName val="Taxes"/>
      <sheetName val="SFE"/>
      <sheetName val="CF"/>
      <sheetName val="Ratios"/>
      <sheetName val="S&amp;U"/>
      <sheetName val="PL&amp;BS"/>
      <sheetName val="CF-C"/>
      <sheetName val="Chart_Data"/>
      <sheetName val="G-CF"/>
      <sheetName val="G-SFE"/>
      <sheetName val="G-SFE2"/>
      <sheetName val="G-Structure"/>
      <sheetName val="Impression"/>
      <sheetName val="SFE_CC_V.8.2"/>
      <sheetName val="Annexe22_CC"/>
      <sheetName val="Annexe22_CC (2)"/>
      <sheetName val="Annexe23_CC"/>
      <sheetName val="Annexe26_CC"/>
      <sheetName val="Annexe26_CC (2)"/>
      <sheetName val="Annexe30_CC"/>
      <sheetName val="Annexe2_CT"/>
      <sheetName val="Annexe3_CT"/>
    </sheetNames>
    <sheetDataSet>
      <sheetData sheetId="0" refreshError="1"/>
      <sheetData sheetId="1" refreshError="1"/>
      <sheetData sheetId="2" refreshError="1"/>
      <sheetData sheetId="3" refreshError="1">
        <row r="8">
          <cell r="N8">
            <v>0</v>
          </cell>
        </row>
      </sheetData>
      <sheetData sheetId="4" refreshError="1"/>
      <sheetData sheetId="5" refreshError="1">
        <row r="102">
          <cell r="F102">
            <v>1.0049629315732038</v>
          </cell>
          <cell r="G102">
            <v>1.0250621902046679</v>
          </cell>
          <cell r="H102">
            <v>1.0455634340087612</v>
          </cell>
          <cell r="I102">
            <v>1.0664747026889365</v>
          </cell>
          <cell r="J102">
            <v>1.0878041967427152</v>
          </cell>
          <cell r="K102">
            <v>1.1095602806775695</v>
          </cell>
          <cell r="L102">
            <v>1.1317514862911209</v>
          </cell>
          <cell r="M102">
            <v>1.1543865160169433</v>
          </cell>
          <cell r="N102">
            <v>1.1774742463372823</v>
          </cell>
          <cell r="O102">
            <v>1.2010237312640279</v>
          </cell>
          <cell r="P102">
            <v>1.2250442058893085</v>
          </cell>
          <cell r="Q102">
            <v>1.2495450900070948</v>
          </cell>
          <cell r="R102">
            <v>1.2745359918072365</v>
          </cell>
          <cell r="S102">
            <v>1.3000267116433815</v>
          </cell>
          <cell r="T102">
            <v>1.326027245876249</v>
          </cell>
          <cell r="U102">
            <v>1.352547790793774</v>
          </cell>
          <cell r="V102">
            <v>1.3795987466096495</v>
          </cell>
          <cell r="W102">
            <v>1.4071907215418424</v>
          </cell>
          <cell r="X102">
            <v>1.4353345359726795</v>
          </cell>
          <cell r="Y102">
            <v>1.464041226692133</v>
          </cell>
          <cell r="Z102">
            <v>1.4933220512259757</v>
          </cell>
          <cell r="AA102">
            <v>1.5231884922504955</v>
          </cell>
          <cell r="AB102">
            <v>1.5536522620955051</v>
          </cell>
          <cell r="AC102">
            <v>1.5847253073374152</v>
          </cell>
          <cell r="AD102">
            <v>1.6164198134841636</v>
          </cell>
          <cell r="AE102">
            <v>1.6487482097538471</v>
          </cell>
          <cell r="AF102">
            <v>1.681723173948924</v>
          </cell>
          <cell r="AG102">
            <v>1.7153576374279023</v>
          </cell>
          <cell r="AH102">
            <v>1.7496647901764606</v>
          </cell>
          <cell r="AI102">
            <v>1.7846580859799899</v>
          </cell>
          <cell r="AJ102">
            <v>1.8203512476995896</v>
          </cell>
          <cell r="AK102">
            <v>1.8567582726535812</v>
          </cell>
          <cell r="AL102">
            <v>1.893893438106653</v>
          </cell>
          <cell r="AM102">
            <v>1.9317713068687861</v>
          </cell>
          <cell r="AN102">
            <v>1.9704067330061621</v>
          </cell>
          <cell r="AO102">
            <v>2.009814867666285</v>
          </cell>
          <cell r="AP102">
            <v>2.0500111650196109</v>
          </cell>
          <cell r="AQ102">
            <v>2.0910113883200032</v>
          </cell>
          <cell r="AR102">
            <v>2.1328316160864031</v>
          </cell>
          <cell r="AS102">
            <v>2.1754882484081315</v>
          </cell>
          <cell r="AT102">
            <v>2.2189980133762939</v>
          </cell>
          <cell r="AU102">
            <v>2.26337797364382</v>
          </cell>
          <cell r="AV102">
            <v>2.3086455331166964</v>
          </cell>
          <cell r="AW102">
            <v>2.3548184437790303</v>
          </cell>
          <cell r="AX102">
            <v>2.4019148126546113</v>
          </cell>
          <cell r="AY102">
            <v>2.4499531089077031</v>
          </cell>
        </row>
      </sheetData>
      <sheetData sheetId="6" refreshError="1"/>
      <sheetData sheetId="7" refreshError="1"/>
      <sheetData sheetId="8" refreshError="1">
        <row r="63">
          <cell r="D63">
            <v>107.27577097547353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Résultats"/>
      <sheetName val="Hyp"/>
      <sheetName val="SFE_RM"/>
      <sheetName val="Flag"/>
      <sheetName val="Capex"/>
      <sheetName val="Amort"/>
      <sheetName val="NTF"/>
      <sheetName val="Dette"/>
      <sheetName val="EchDette"/>
      <sheetName val="Opex"/>
      <sheetName val="Recettes"/>
      <sheetName val="Taxes"/>
      <sheetName val="SFE"/>
      <sheetName val="CF"/>
      <sheetName val="Ratios"/>
      <sheetName val="S&amp;U"/>
      <sheetName val="PL&amp;BS"/>
      <sheetName val="Scenario Manager"/>
      <sheetName val="CF-C"/>
      <sheetName val="Chart_Data"/>
      <sheetName val="G-CF"/>
      <sheetName val="G-SFE"/>
      <sheetName val="G-SFE2"/>
      <sheetName val="G-Structure"/>
      <sheetName val="Impression"/>
      <sheetName val="SFE_CC_V.8.2"/>
      <sheetName val="Annexe22_CC"/>
      <sheetName val="Annexe22_CC (2)"/>
      <sheetName val="Annexe23_CC"/>
      <sheetName val="Annexe26_CC"/>
      <sheetName val="Annexe26_CC (2)"/>
      <sheetName val="Annexe30_CC"/>
      <sheetName val="Annexe2_CT"/>
      <sheetName val="Annexe3_CT"/>
    </sheetNames>
    <sheetDataSet>
      <sheetData sheetId="0" refreshError="1"/>
      <sheetData sheetId="1" refreshError="1"/>
      <sheetData sheetId="2" refreshError="1">
        <row r="9">
          <cell r="Q9">
            <v>1E-4</v>
          </cell>
        </row>
        <row r="10">
          <cell r="H10">
            <v>1</v>
          </cell>
        </row>
        <row r="22">
          <cell r="H22">
            <v>41456</v>
          </cell>
        </row>
        <row r="23">
          <cell r="H23">
            <v>39873</v>
          </cell>
        </row>
        <row r="34">
          <cell r="H34">
            <v>40664</v>
          </cell>
        </row>
        <row r="292">
          <cell r="H292">
            <v>0.4</v>
          </cell>
        </row>
        <row r="296">
          <cell r="H296" t="b">
            <v>1</v>
          </cell>
        </row>
        <row r="419">
          <cell r="O419">
            <v>0.19600000000000001</v>
          </cell>
        </row>
        <row r="463">
          <cell r="O463">
            <v>0</v>
          </cell>
        </row>
        <row r="465">
          <cell r="O465">
            <v>0</v>
          </cell>
        </row>
        <row r="466">
          <cell r="O466">
            <v>0</v>
          </cell>
        </row>
        <row r="467">
          <cell r="O467">
            <v>0</v>
          </cell>
        </row>
        <row r="471">
          <cell r="O471">
            <v>0</v>
          </cell>
        </row>
        <row r="475">
          <cell r="O475" t="b">
            <v>1</v>
          </cell>
        </row>
        <row r="490">
          <cell r="B490">
            <v>3</v>
          </cell>
        </row>
      </sheetData>
      <sheetData sheetId="3" refreshError="1"/>
      <sheetData sheetId="4" refreshError="1">
        <row r="49"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>
            <v>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</row>
        <row r="117">
          <cell r="F117">
            <v>1.0664747026889365</v>
          </cell>
          <cell r="G117">
            <v>1.0878041967427152</v>
          </cell>
          <cell r="H117">
            <v>1.1095602806775695</v>
          </cell>
          <cell r="I117">
            <v>1.1317514862911209</v>
          </cell>
          <cell r="J117">
            <v>1.1543865160169433</v>
          </cell>
          <cell r="K117">
            <v>1.1774742463372823</v>
          </cell>
          <cell r="L117">
            <v>1.2010237312640279</v>
          </cell>
          <cell r="M117">
            <v>1.2250442058893085</v>
          </cell>
          <cell r="N117">
            <v>1.2495450900070948</v>
          </cell>
          <cell r="O117">
            <v>1.2745359918072365</v>
          </cell>
          <cell r="P117">
            <v>1.3000267116433815</v>
          </cell>
          <cell r="Q117">
            <v>1.326027245876249</v>
          </cell>
          <cell r="R117">
            <v>1.352547790793774</v>
          </cell>
          <cell r="S117">
            <v>1.3795987466096495</v>
          </cell>
          <cell r="T117">
            <v>1.4071907215418424</v>
          </cell>
          <cell r="U117">
            <v>1.4353345359726795</v>
          </cell>
          <cell r="V117">
            <v>1.464041226692133</v>
          </cell>
          <cell r="W117">
            <v>1.4933220512259757</v>
          </cell>
          <cell r="X117">
            <v>1.5231884922504952</v>
          </cell>
          <cell r="Y117">
            <v>1.5536522620955051</v>
          </cell>
          <cell r="Z117">
            <v>1.5847253073374152</v>
          </cell>
          <cell r="AA117">
            <v>1.6164198134841636</v>
          </cell>
          <cell r="AB117">
            <v>1.6487482097538468</v>
          </cell>
          <cell r="AC117">
            <v>1.681723173948924</v>
          </cell>
          <cell r="AD117">
            <v>1.7153576374279023</v>
          </cell>
          <cell r="AE117">
            <v>1.7496647901764604</v>
          </cell>
          <cell r="AF117">
            <v>1.7846580859799899</v>
          </cell>
          <cell r="AG117">
            <v>1.8203512476995896</v>
          </cell>
          <cell r="AH117">
            <v>1.8567582726535814</v>
          </cell>
          <cell r="AI117">
            <v>1.893893438106653</v>
          </cell>
          <cell r="AJ117">
            <v>1.9317713068687863</v>
          </cell>
          <cell r="AK117">
            <v>1.9704067330061619</v>
          </cell>
          <cell r="AL117">
            <v>2.009814867666285</v>
          </cell>
          <cell r="AM117">
            <v>2.0500111650196109</v>
          </cell>
          <cell r="AN117">
            <v>2.0910113883200032</v>
          </cell>
          <cell r="AO117">
            <v>2.1328316160864031</v>
          </cell>
          <cell r="AP117">
            <v>2.1754882484081315</v>
          </cell>
          <cell r="AQ117">
            <v>2.2189980133762939</v>
          </cell>
          <cell r="AR117">
            <v>2.26337797364382</v>
          </cell>
          <cell r="AS117">
            <v>2.3086455331166964</v>
          </cell>
          <cell r="AT117">
            <v>2.3548184437790303</v>
          </cell>
          <cell r="AU117">
            <v>2.4019148126546108</v>
          </cell>
          <cell r="AV117">
            <v>2.4499531089077031</v>
          </cell>
          <cell r="AW117">
            <v>2.4989521710858575</v>
          </cell>
          <cell r="AX117">
            <v>2.5489312145075744</v>
          </cell>
          <cell r="AY117">
            <v>2.5999098387977262</v>
          </cell>
        </row>
      </sheetData>
      <sheetData sheetId="5" refreshError="1">
        <row r="42">
          <cell r="F42">
            <v>1.0629606712902482</v>
          </cell>
          <cell r="G42">
            <v>1.0646576717070126</v>
          </cell>
          <cell r="H42">
            <v>1.0664747026889365</v>
          </cell>
          <cell r="I42">
            <v>1.0682360723668685</v>
          </cell>
          <cell r="J42">
            <v>1.0698237921738085</v>
          </cell>
          <cell r="K42">
            <v>1.0717675436629344</v>
          </cell>
          <cell r="L42">
            <v>1.0734786041164346</v>
          </cell>
          <cell r="M42">
            <v>1.07531068961579</v>
          </cell>
          <cell r="N42">
            <v>1.0770274066474881</v>
          </cell>
          <cell r="O42">
            <v>1.0788655488205698</v>
          </cell>
          <cell r="P42">
            <v>1.0806473829882877</v>
          </cell>
          <cell r="Q42">
            <v>1.0823726199691446</v>
          </cell>
          <cell r="R42">
            <v>1.0842198847160531</v>
          </cell>
          <cell r="S42">
            <v>1.0859508251411529</v>
          </cell>
          <cell r="T42">
            <v>1.0878041967427152</v>
          </cell>
          <cell r="U42">
            <v>1.0896007938142058</v>
          </cell>
          <cell r="V42">
            <v>1.0912202680172847</v>
          </cell>
          <cell r="W42">
            <v>1.0932028945361931</v>
          </cell>
          <cell r="X42">
            <v>1.0949481761987632</v>
          </cell>
          <cell r="Y42">
            <v>1.0968169034081057</v>
          </cell>
          <cell r="Z42">
            <v>1.0985679547804379</v>
          </cell>
          <cell r="AA42">
            <v>1.1004428597969811</v>
          </cell>
          <cell r="AB42">
            <v>1.1022603306480534</v>
          </cell>
          <cell r="AC42">
            <v>1.1040200723685276</v>
          </cell>
          <cell r="AD42">
            <v>1.1059042824103742</v>
          </cell>
          <cell r="AE42">
            <v>1.1076698416439759</v>
          </cell>
          <cell r="AF42">
            <v>1.1095602806775695</v>
          </cell>
          <cell r="AG42">
            <v>1.1113928096904899</v>
          </cell>
          <cell r="AH42">
            <v>1.1130446733776302</v>
          </cell>
          <cell r="AI42">
            <v>1.115066952426917</v>
          </cell>
          <cell r="AJ42">
            <v>1.1168471397227384</v>
          </cell>
          <cell r="AK42">
            <v>1.118753241476268</v>
          </cell>
          <cell r="AL42">
            <v>1.1205393138760467</v>
          </cell>
          <cell r="AM42">
            <v>1.1224517169929209</v>
          </cell>
          <cell r="AN42">
            <v>1.1243055372610145</v>
          </cell>
          <cell r="AO42">
            <v>1.1261004738158982</v>
          </cell>
          <cell r="AP42">
            <v>1.1280223680585817</v>
          </cell>
          <cell r="AQ42">
            <v>1.1298232384768554</v>
          </cell>
          <cell r="AR42">
            <v>1.1317514862911209</v>
          </cell>
          <cell r="AS42">
            <v>1.1543865160169433</v>
          </cell>
          <cell r="AT42">
            <v>1.1774742463372823</v>
          </cell>
          <cell r="AU42">
            <v>1.2010237312640279</v>
          </cell>
          <cell r="AV42">
            <v>1.2250442058893085</v>
          </cell>
          <cell r="AW42">
            <v>1.2495450900070948</v>
          </cell>
          <cell r="AX42">
            <v>1.2745359918072365</v>
          </cell>
          <cell r="AY42">
            <v>1.3000267116433815</v>
          </cell>
          <cell r="AZ42">
            <v>1.326027245876249</v>
          </cell>
          <cell r="BA42">
            <v>1.352547790793774</v>
          </cell>
          <cell r="BB42">
            <v>1.3795987466096495</v>
          </cell>
          <cell r="BC42">
            <v>1.4071907215418424</v>
          </cell>
          <cell r="BD42">
            <v>1.4353345359726795</v>
          </cell>
          <cell r="BE42">
            <v>1.464041226692133</v>
          </cell>
          <cell r="BF42">
            <v>1.4933220512259757</v>
          </cell>
          <cell r="BG42">
            <v>1.5231884922504952</v>
          </cell>
          <cell r="BH42">
            <v>1.5536522620955051</v>
          </cell>
          <cell r="BI42">
            <v>1.5847253073374152</v>
          </cell>
          <cell r="BJ42">
            <v>1.6164198134841636</v>
          </cell>
          <cell r="BK42">
            <v>1.6487482097538468</v>
          </cell>
          <cell r="BL42">
            <v>1.681723173948924</v>
          </cell>
          <cell r="BM42">
            <v>1.7153576374279023</v>
          </cell>
          <cell r="BN42">
            <v>1.7496647901764604</v>
          </cell>
          <cell r="BO42">
            <v>1.7846580859799899</v>
          </cell>
          <cell r="BP42">
            <v>1.8203512476995896</v>
          </cell>
          <cell r="BQ42">
            <v>1.8567582726535814</v>
          </cell>
          <cell r="BR42">
            <v>1.893893438106653</v>
          </cell>
          <cell r="BS42">
            <v>1.9317713068687863</v>
          </cell>
          <cell r="BT42">
            <v>1.9704067330061619</v>
          </cell>
          <cell r="BU42">
            <v>2.009814867666285</v>
          </cell>
          <cell r="BV42">
            <v>2.0500111650196109</v>
          </cell>
          <cell r="BW42">
            <v>2.0910113883200032</v>
          </cell>
          <cell r="BX42">
            <v>2.1328316160864031</v>
          </cell>
          <cell r="BY42">
            <v>2.1754882484081315</v>
          </cell>
          <cell r="BZ42">
            <v>2.2189980133762939</v>
          </cell>
          <cell r="CA42">
            <v>2.26337797364382</v>
          </cell>
          <cell r="CB42">
            <v>2.3086455331166964</v>
          </cell>
          <cell r="CC42">
            <v>2.3548184437790303</v>
          </cell>
          <cell r="CD42">
            <v>2.4019148126546108</v>
          </cell>
          <cell r="CE42">
            <v>2.4499531089077031</v>
          </cell>
          <cell r="CF42">
            <v>2.4989521710858575</v>
          </cell>
          <cell r="CG42">
            <v>2.5489312145075744</v>
          </cell>
          <cell r="CH42">
            <v>2.5999098387977262</v>
          </cell>
          <cell r="CI42">
            <v>2.6519080355736806</v>
          </cell>
          <cell r="CJ42">
            <v>2.7049461962851544</v>
          </cell>
          <cell r="CK42">
            <v>2.7590451202108572</v>
          </cell>
          <cell r="CL42">
            <v>2.8142260226150748</v>
          </cell>
          <cell r="CM42">
            <v>2.8705105430673763</v>
          </cell>
          <cell r="CN42">
            <v>2.9279207539287242</v>
          </cell>
          <cell r="CO42">
            <v>2.986479169007298</v>
          </cell>
          <cell r="CP42">
            <v>3.0462087523874439</v>
          </cell>
          <cell r="CQ42">
            <v>3.1071329274351931</v>
          </cell>
          <cell r="CR42">
            <v>3.1692755859838972</v>
          </cell>
          <cell r="CS42">
            <v>3.2326610977035752</v>
          </cell>
          <cell r="CT42">
            <v>3.2973143196576471</v>
          </cell>
          <cell r="CU42">
            <v>3.3632606060507992</v>
          </cell>
          <cell r="CV42">
            <v>3.4305258181718155</v>
          </cell>
          <cell r="CW42">
            <v>3.499136334535252</v>
          </cell>
          <cell r="CX42">
            <v>3.5691190612259573</v>
          </cell>
          <cell r="CY42">
            <v>3.6405014424504767</v>
          </cell>
          <cell r="CZ42">
            <v>3.7133114712994861</v>
          </cell>
          <cell r="DA42">
            <v>3.7875777007254752</v>
          </cell>
          <cell r="DB42">
            <v>3.8633292547399849</v>
          </cell>
          <cell r="DC42">
            <v>3.9405958398347849</v>
          </cell>
          <cell r="DD42">
            <v>4.0194077566314812</v>
          </cell>
          <cell r="DE42">
            <v>4.0997959117641107</v>
          </cell>
          <cell r="DF42">
            <v>4.1817918299993933</v>
          </cell>
          <cell r="DG42">
            <v>4.2654276665993809</v>
          </cell>
          <cell r="DH42">
            <v>4.3507362199313677</v>
          </cell>
          <cell r="DI42">
            <v>4.4377509443299958</v>
          </cell>
          <cell r="DJ42">
            <v>4.5265059632165956</v>
          </cell>
          <cell r="DK42">
            <v>4.6170360824809284</v>
          </cell>
          <cell r="DL42">
            <v>4.7093768041305468</v>
          </cell>
          <cell r="DM42">
            <v>4.8035643402131578</v>
          </cell>
          <cell r="DN42">
            <v>4.8996356270174202</v>
          </cell>
          <cell r="DO42">
            <v>4.9976283395577692</v>
          </cell>
        </row>
        <row r="45">
          <cell r="F45">
            <v>1.0629606712902482</v>
          </cell>
          <cell r="G45">
            <v>1.0646576717070126</v>
          </cell>
          <cell r="H45">
            <v>1.0664747026889365</v>
          </cell>
          <cell r="I45">
            <v>1.0682360723668685</v>
          </cell>
          <cell r="J45">
            <v>1.0698237921738085</v>
          </cell>
          <cell r="K45">
            <v>1.0717675436629344</v>
          </cell>
          <cell r="L45">
            <v>1.0734786041164346</v>
          </cell>
          <cell r="M45">
            <v>1.07531068961579</v>
          </cell>
          <cell r="N45">
            <v>1.0770274066474881</v>
          </cell>
          <cell r="O45">
            <v>1.0788655488205698</v>
          </cell>
          <cell r="P45">
            <v>1.0806473829882877</v>
          </cell>
          <cell r="Q45">
            <v>1.0823726199691446</v>
          </cell>
          <cell r="R45">
            <v>1.0842198847160531</v>
          </cell>
          <cell r="S45">
            <v>1.0859508251411529</v>
          </cell>
          <cell r="T45">
            <v>1.0878041967427152</v>
          </cell>
          <cell r="U45">
            <v>1.0896007938142058</v>
          </cell>
          <cell r="V45">
            <v>1.0912202680172847</v>
          </cell>
          <cell r="W45">
            <v>1.0932028945361931</v>
          </cell>
          <cell r="X45">
            <v>1.0949481761987632</v>
          </cell>
          <cell r="Y45">
            <v>1.0968169034081057</v>
          </cell>
          <cell r="Z45">
            <v>1.0985679547804379</v>
          </cell>
          <cell r="AA45">
            <v>1.1004428597969811</v>
          </cell>
          <cell r="AB45">
            <v>1.1022603306480534</v>
          </cell>
          <cell r="AC45">
            <v>1.1040200723685276</v>
          </cell>
          <cell r="AD45">
            <v>1.1059042824103742</v>
          </cell>
          <cell r="AE45">
            <v>1.1076698416439759</v>
          </cell>
          <cell r="AF45">
            <v>1.1095602806775695</v>
          </cell>
          <cell r="AG45">
            <v>1.1113928096904899</v>
          </cell>
          <cell r="AH45">
            <v>1.1130446733776302</v>
          </cell>
          <cell r="AI45">
            <v>1.115066952426917</v>
          </cell>
          <cell r="AJ45">
            <v>1.1168471397227384</v>
          </cell>
          <cell r="AK45">
            <v>1.118753241476268</v>
          </cell>
          <cell r="AL45">
            <v>1.1205393138760467</v>
          </cell>
          <cell r="AM45">
            <v>1.1224517169929209</v>
          </cell>
          <cell r="AN45">
            <v>1.1243055372610145</v>
          </cell>
          <cell r="AO45">
            <v>1.1261004738158982</v>
          </cell>
          <cell r="AP45">
            <v>1.1280223680585817</v>
          </cell>
          <cell r="AQ45">
            <v>1.1298232384768554</v>
          </cell>
          <cell r="AR45">
            <v>1.1317514862911209</v>
          </cell>
          <cell r="AS45">
            <v>1.1543865160169433</v>
          </cell>
          <cell r="AT45">
            <v>1.1774742463372823</v>
          </cell>
          <cell r="AU45">
            <v>1.2010237312640279</v>
          </cell>
          <cell r="AV45">
            <v>1.2250442058893085</v>
          </cell>
          <cell r="AW45">
            <v>1.2495450900070948</v>
          </cell>
          <cell r="AX45">
            <v>1.2745359918072365</v>
          </cell>
          <cell r="AY45">
            <v>1.3000267116433815</v>
          </cell>
          <cell r="AZ45">
            <v>1.326027245876249</v>
          </cell>
          <cell r="BA45">
            <v>1.352547790793774</v>
          </cell>
          <cell r="BB45">
            <v>1.3795987466096495</v>
          </cell>
          <cell r="BC45">
            <v>1.4071907215418424</v>
          </cell>
          <cell r="BD45">
            <v>1.4353345359726795</v>
          </cell>
          <cell r="BE45">
            <v>1.464041226692133</v>
          </cell>
          <cell r="BF45">
            <v>1.4933220512259757</v>
          </cell>
          <cell r="BG45">
            <v>1.5231884922504952</v>
          </cell>
          <cell r="BH45">
            <v>1.5536522620955051</v>
          </cell>
          <cell r="BI45">
            <v>1.5847253073374152</v>
          </cell>
          <cell r="BJ45">
            <v>1.6164198134841636</v>
          </cell>
          <cell r="BK45">
            <v>1.6487482097538468</v>
          </cell>
          <cell r="BL45">
            <v>1.681723173948924</v>
          </cell>
          <cell r="BM45">
            <v>1.7153576374279023</v>
          </cell>
          <cell r="BN45">
            <v>1.7496647901764604</v>
          </cell>
          <cell r="BO45">
            <v>1.7846580859799899</v>
          </cell>
          <cell r="BP45">
            <v>1.8203512476995896</v>
          </cell>
          <cell r="BQ45">
            <v>1.8567582726535814</v>
          </cell>
          <cell r="BR45">
            <v>1.893893438106653</v>
          </cell>
          <cell r="BS45">
            <v>1.9317713068687863</v>
          </cell>
          <cell r="BT45">
            <v>1.9704067330061619</v>
          </cell>
          <cell r="BU45">
            <v>2.009814867666285</v>
          </cell>
          <cell r="BV45">
            <v>2.0500111650196109</v>
          </cell>
          <cell r="BW45">
            <v>2.0910113883200032</v>
          </cell>
          <cell r="BX45">
            <v>2.1328316160864031</v>
          </cell>
          <cell r="BY45">
            <v>2.1754882484081315</v>
          </cell>
          <cell r="BZ45">
            <v>2.2189980133762939</v>
          </cell>
          <cell r="CA45">
            <v>2.26337797364382</v>
          </cell>
          <cell r="CB45">
            <v>2.3086455331166964</v>
          </cell>
          <cell r="CC45">
            <v>2.3548184437790303</v>
          </cell>
          <cell r="CD45">
            <v>2.4019148126546108</v>
          </cell>
          <cell r="CE45">
            <v>2.4499531089077031</v>
          </cell>
          <cell r="CF45">
            <v>2.4989521710858575</v>
          </cell>
          <cell r="CG45">
            <v>2.5489312145075744</v>
          </cell>
          <cell r="CH45">
            <v>2.5999098387977262</v>
          </cell>
          <cell r="CI45">
            <v>2.6519080355736806</v>
          </cell>
          <cell r="CJ45">
            <v>2.7049461962851544</v>
          </cell>
          <cell r="CK45">
            <v>2.7590451202108572</v>
          </cell>
          <cell r="CL45">
            <v>2.8142260226150748</v>
          </cell>
          <cell r="CM45">
            <v>2.8705105430673763</v>
          </cell>
          <cell r="CN45">
            <v>2.9279207539287242</v>
          </cell>
          <cell r="CO45">
            <v>2.986479169007298</v>
          </cell>
          <cell r="CP45">
            <v>3.0462087523874439</v>
          </cell>
          <cell r="CQ45">
            <v>3.1071329274351931</v>
          </cell>
          <cell r="CR45">
            <v>3.1692755859838972</v>
          </cell>
          <cell r="CS45">
            <v>3.2326610977035752</v>
          </cell>
          <cell r="CT45">
            <v>3.2973143196576471</v>
          </cell>
          <cell r="CU45">
            <v>3.3632606060507992</v>
          </cell>
          <cell r="CV45">
            <v>3.4305258181718155</v>
          </cell>
          <cell r="CW45">
            <v>3.499136334535252</v>
          </cell>
          <cell r="CX45">
            <v>3.5691190612259573</v>
          </cell>
          <cell r="CY45">
            <v>3.6405014424504767</v>
          </cell>
          <cell r="CZ45">
            <v>3.7133114712994861</v>
          </cell>
          <cell r="DA45">
            <v>3.7875777007254752</v>
          </cell>
          <cell r="DB45">
            <v>3.8633292547399849</v>
          </cell>
          <cell r="DC45">
            <v>3.9405958398347849</v>
          </cell>
          <cell r="DD45">
            <v>4.0194077566314812</v>
          </cell>
          <cell r="DE45">
            <v>4.0997959117641107</v>
          </cell>
          <cell r="DF45">
            <v>4.1817918299993933</v>
          </cell>
          <cell r="DG45">
            <v>4.2654276665993809</v>
          </cell>
          <cell r="DH45">
            <v>4.3507362199313677</v>
          </cell>
          <cell r="DI45">
            <v>4.4377509443299958</v>
          </cell>
          <cell r="DJ45">
            <v>4.5265059632165956</v>
          </cell>
          <cell r="DK45">
            <v>4.6170360824809284</v>
          </cell>
          <cell r="DL45">
            <v>4.7093768041305468</v>
          </cell>
          <cell r="DM45">
            <v>4.8035643402131578</v>
          </cell>
          <cell r="DN45">
            <v>4.8996356270174202</v>
          </cell>
          <cell r="DO45">
            <v>4.9976283395577692</v>
          </cell>
        </row>
        <row r="363">
          <cell r="D363">
            <v>-2.7460564845411568</v>
          </cell>
        </row>
      </sheetData>
      <sheetData sheetId="6" refreshError="1">
        <row r="16">
          <cell r="D16">
            <v>0.16666666666666666</v>
          </cell>
        </row>
        <row r="1022">
          <cell r="D1022" t="e">
            <v>#VALUE!</v>
          </cell>
        </row>
        <row r="1023">
          <cell r="D1023" t="e">
            <v>#VALUE!</v>
          </cell>
        </row>
        <row r="1030">
          <cell r="D1030">
            <v>1</v>
          </cell>
        </row>
      </sheetData>
      <sheetData sheetId="7" refreshError="1">
        <row r="42">
          <cell r="D42" t="e">
            <v>#DIV/0!</v>
          </cell>
        </row>
        <row r="43">
          <cell r="C43" t="e">
            <v>#DIV/0!</v>
          </cell>
        </row>
        <row r="66">
          <cell r="D66" t="e">
            <v>#DIV/0!</v>
          </cell>
        </row>
        <row r="91">
          <cell r="D91" t="e">
            <v>#DIV/0!</v>
          </cell>
        </row>
        <row r="104">
          <cell r="F104" t="e">
            <v>#DIV/0!</v>
          </cell>
          <cell r="G104" t="e">
            <v>#DIV/0!</v>
          </cell>
          <cell r="H104" t="e">
            <v>#DIV/0!</v>
          </cell>
          <cell r="I104" t="e">
            <v>#DIV/0!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  <cell r="AA104" t="e">
            <v>#DIV/0!</v>
          </cell>
          <cell r="AB104" t="e">
            <v>#DIV/0!</v>
          </cell>
          <cell r="AC104" t="e">
            <v>#DIV/0!</v>
          </cell>
          <cell r="AD104" t="e">
            <v>#DIV/0!</v>
          </cell>
          <cell r="AE104" t="e">
            <v>#DIV/0!</v>
          </cell>
          <cell r="AF104" t="e">
            <v>#DIV/0!</v>
          </cell>
          <cell r="AG104" t="e">
            <v>#DIV/0!</v>
          </cell>
          <cell r="AH104" t="e">
            <v>#DIV/0!</v>
          </cell>
          <cell r="AI104" t="e">
            <v>#DIV/0!</v>
          </cell>
          <cell r="AJ104" t="e">
            <v>#DIV/0!</v>
          </cell>
          <cell r="AK104" t="e">
            <v>#DIV/0!</v>
          </cell>
          <cell r="AL104" t="e">
            <v>#DIV/0!</v>
          </cell>
          <cell r="AM104" t="e">
            <v>#DIV/0!</v>
          </cell>
          <cell r="AN104" t="e">
            <v>#DIV/0!</v>
          </cell>
          <cell r="AO104" t="e">
            <v>#DIV/0!</v>
          </cell>
          <cell r="AP104" t="e">
            <v>#DIV/0!</v>
          </cell>
          <cell r="AQ104" t="e">
            <v>#DIV/0!</v>
          </cell>
          <cell r="AR104" t="e">
            <v>#DIV/0!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 t="e">
            <v>#DIV/0!</v>
          </cell>
          <cell r="AW104" t="e">
            <v>#DIV/0!</v>
          </cell>
          <cell r="AX104" t="e">
            <v>#DIV/0!</v>
          </cell>
          <cell r="AY104" t="e">
            <v>#DIV/0!</v>
          </cell>
          <cell r="AZ104" t="e">
            <v>#DIV/0!</v>
          </cell>
          <cell r="BA104" t="e">
            <v>#DIV/0!</v>
          </cell>
          <cell r="BB104" t="e">
            <v>#DIV/0!</v>
          </cell>
          <cell r="BC104" t="e">
            <v>#DIV/0!</v>
          </cell>
          <cell r="BD104" t="e">
            <v>#DIV/0!</v>
          </cell>
          <cell r="BE104" t="e">
            <v>#DIV/0!</v>
          </cell>
          <cell r="BF104" t="e">
            <v>#DIV/0!</v>
          </cell>
          <cell r="BG104" t="e">
            <v>#DIV/0!</v>
          </cell>
          <cell r="BH104" t="e">
            <v>#DIV/0!</v>
          </cell>
          <cell r="BI104" t="e">
            <v>#DIV/0!</v>
          </cell>
          <cell r="BJ104" t="e">
            <v>#DIV/0!</v>
          </cell>
          <cell r="BK104" t="e">
            <v>#DIV/0!</v>
          </cell>
          <cell r="BL104" t="e">
            <v>#DIV/0!</v>
          </cell>
          <cell r="BM104" t="e">
            <v>#DIV/0!</v>
          </cell>
          <cell r="BN104" t="e">
            <v>#DIV/0!</v>
          </cell>
          <cell r="BO104" t="e">
            <v>#DIV/0!</v>
          </cell>
          <cell r="BP104" t="e">
            <v>#DIV/0!</v>
          </cell>
          <cell r="BQ104" t="e">
            <v>#DIV/0!</v>
          </cell>
          <cell r="BR104" t="e">
            <v>#DIV/0!</v>
          </cell>
          <cell r="BS104" t="e">
            <v>#DIV/0!</v>
          </cell>
          <cell r="BT104" t="e">
            <v>#DIV/0!</v>
          </cell>
          <cell r="BU104" t="e">
            <v>#DIV/0!</v>
          </cell>
          <cell r="BV104" t="e">
            <v>#DIV/0!</v>
          </cell>
          <cell r="BW104" t="e">
            <v>#DIV/0!</v>
          </cell>
          <cell r="BX104" t="e">
            <v>#DIV/0!</v>
          </cell>
          <cell r="BY104" t="e">
            <v>#DIV/0!</v>
          </cell>
          <cell r="BZ104" t="e">
            <v>#DIV/0!</v>
          </cell>
          <cell r="CA104" t="e">
            <v>#DIV/0!</v>
          </cell>
          <cell r="CB104" t="e">
            <v>#DIV/0!</v>
          </cell>
          <cell r="CC104" t="e">
            <v>#DIV/0!</v>
          </cell>
          <cell r="CD104" t="e">
            <v>#DIV/0!</v>
          </cell>
          <cell r="CE104" t="e">
            <v>#DIV/0!</v>
          </cell>
          <cell r="CF104" t="e">
            <v>#DIV/0!</v>
          </cell>
          <cell r="CG104" t="e">
            <v>#DIV/0!</v>
          </cell>
          <cell r="CH104" t="e">
            <v>#DIV/0!</v>
          </cell>
          <cell r="CI104" t="e">
            <v>#DIV/0!</v>
          </cell>
          <cell r="CJ104" t="e">
            <v>#DIV/0!</v>
          </cell>
          <cell r="CK104" t="e">
            <v>#DIV/0!</v>
          </cell>
          <cell r="CL104" t="e">
            <v>#DIV/0!</v>
          </cell>
          <cell r="CM104" t="e">
            <v>#DIV/0!</v>
          </cell>
          <cell r="CN104" t="e">
            <v>#DIV/0!</v>
          </cell>
          <cell r="CO104" t="e">
            <v>#DIV/0!</v>
          </cell>
          <cell r="CP104" t="e">
            <v>#DIV/0!</v>
          </cell>
          <cell r="CQ104" t="e">
            <v>#DIV/0!</v>
          </cell>
          <cell r="CR104" t="e">
            <v>#DIV/0!</v>
          </cell>
          <cell r="CS104" t="e">
            <v>#DIV/0!</v>
          </cell>
          <cell r="CT104" t="e">
            <v>#DIV/0!</v>
          </cell>
          <cell r="CU104" t="e">
            <v>#DIV/0!</v>
          </cell>
          <cell r="CV104" t="e">
            <v>#DIV/0!</v>
          </cell>
          <cell r="CW104" t="e">
            <v>#DIV/0!</v>
          </cell>
          <cell r="CX104" t="e">
            <v>#DIV/0!</v>
          </cell>
          <cell r="CY104" t="e">
            <v>#DIV/0!</v>
          </cell>
          <cell r="CZ104" t="e">
            <v>#DIV/0!</v>
          </cell>
          <cell r="DA104" t="e">
            <v>#DIV/0!</v>
          </cell>
          <cell r="DB104" t="e">
            <v>#DIV/0!</v>
          </cell>
          <cell r="DC104" t="e">
            <v>#DIV/0!</v>
          </cell>
          <cell r="DD104" t="e">
            <v>#DIV/0!</v>
          </cell>
          <cell r="DE104" t="e">
            <v>#DIV/0!</v>
          </cell>
          <cell r="DF104" t="e">
            <v>#DIV/0!</v>
          </cell>
          <cell r="DG104" t="e">
            <v>#DIV/0!</v>
          </cell>
          <cell r="DH104" t="e">
            <v>#DIV/0!</v>
          </cell>
          <cell r="DI104" t="e">
            <v>#DIV/0!</v>
          </cell>
          <cell r="DJ104" t="e">
            <v>#DIV/0!</v>
          </cell>
          <cell r="DK104" t="e">
            <v>#DIV/0!</v>
          </cell>
          <cell r="DL104" t="e">
            <v>#DIV/0!</v>
          </cell>
          <cell r="DM104" t="e">
            <v>#DIV/0!</v>
          </cell>
          <cell r="DN104" t="e">
            <v>#DIV/0!</v>
          </cell>
          <cell r="DO104" t="e">
            <v>#DIV/0!</v>
          </cell>
        </row>
        <row r="138">
          <cell r="D138">
            <v>0</v>
          </cell>
        </row>
      </sheetData>
      <sheetData sheetId="8" refreshError="1">
        <row r="650">
          <cell r="D650" t="e">
            <v>#DIV/0!</v>
          </cell>
        </row>
        <row r="651">
          <cell r="D651" t="e">
            <v>#DIV/0!</v>
          </cell>
        </row>
      </sheetData>
      <sheetData sheetId="9" refreshError="1"/>
      <sheetData sheetId="10" refreshError="1"/>
      <sheetData sheetId="11" refreshError="1">
        <row r="20">
          <cell r="F20">
            <v>1.0664747026889365</v>
          </cell>
          <cell r="G20">
            <v>1.0878041967427152</v>
          </cell>
          <cell r="H20">
            <v>1.1095602806775695</v>
          </cell>
          <cell r="I20">
            <v>1.1317514862911209</v>
          </cell>
          <cell r="J20">
            <v>1.1543865160169433</v>
          </cell>
          <cell r="K20">
            <v>1.1774742463372823</v>
          </cell>
          <cell r="L20">
            <v>1.2010237312640279</v>
          </cell>
          <cell r="M20">
            <v>1.2250442058893085</v>
          </cell>
          <cell r="N20">
            <v>1.2495450900070948</v>
          </cell>
          <cell r="O20">
            <v>1.2745359918072365</v>
          </cell>
          <cell r="P20">
            <v>1.3000267116433815</v>
          </cell>
          <cell r="Q20">
            <v>1.326027245876249</v>
          </cell>
          <cell r="R20">
            <v>1.352547790793774</v>
          </cell>
          <cell r="S20">
            <v>1.3795987466096495</v>
          </cell>
          <cell r="T20">
            <v>1.4071907215418424</v>
          </cell>
          <cell r="U20">
            <v>1.4353345359726795</v>
          </cell>
          <cell r="V20">
            <v>1.464041226692133</v>
          </cell>
          <cell r="W20">
            <v>1.4933220512259757</v>
          </cell>
          <cell r="X20">
            <v>1.5231884922504952</v>
          </cell>
          <cell r="Y20">
            <v>1.5536522620955051</v>
          </cell>
          <cell r="Z20">
            <v>1.5847253073374152</v>
          </cell>
          <cell r="AA20">
            <v>1.6164198134841636</v>
          </cell>
          <cell r="AB20">
            <v>1.6487482097538468</v>
          </cell>
          <cell r="AC20">
            <v>1.681723173948924</v>
          </cell>
          <cell r="AD20">
            <v>1.7153576374279023</v>
          </cell>
          <cell r="AE20">
            <v>1.7496647901764604</v>
          </cell>
          <cell r="AF20">
            <v>1.7846580859799899</v>
          </cell>
          <cell r="AG20">
            <v>1.8203512476995896</v>
          </cell>
          <cell r="AH20">
            <v>1.8567582726535814</v>
          </cell>
          <cell r="AI20">
            <v>1.893893438106653</v>
          </cell>
          <cell r="AJ20">
            <v>1.9317713068687863</v>
          </cell>
          <cell r="AK20">
            <v>1.9704067330061619</v>
          </cell>
          <cell r="AL20">
            <v>2.009814867666285</v>
          </cell>
          <cell r="AM20">
            <v>2.0500111650196109</v>
          </cell>
          <cell r="AN20">
            <v>2.0910113883200032</v>
          </cell>
          <cell r="AO20">
            <v>2.1328316160864031</v>
          </cell>
          <cell r="AP20">
            <v>2.1754882484081315</v>
          </cell>
          <cell r="AQ20">
            <v>2.2189980133762939</v>
          </cell>
          <cell r="AR20">
            <v>2.26337797364382</v>
          </cell>
          <cell r="AS20">
            <v>2.3086455331166964</v>
          </cell>
          <cell r="AT20">
            <v>2.3548184437790303</v>
          </cell>
          <cell r="AU20">
            <v>2.4019148126546108</v>
          </cell>
          <cell r="AV20">
            <v>2.4499531089077031</v>
          </cell>
          <cell r="AW20">
            <v>2.4989521710858575</v>
          </cell>
          <cell r="AX20">
            <v>2.5489312145075744</v>
          </cell>
          <cell r="AY20">
            <v>2.5999098387977262</v>
          </cell>
        </row>
      </sheetData>
      <sheetData sheetId="12" refreshError="1"/>
      <sheetData sheetId="13" refreshError="1">
        <row r="18">
          <cell r="D18">
            <v>1</v>
          </cell>
        </row>
        <row r="49">
          <cell r="D49">
            <v>30.75993282037232</v>
          </cell>
        </row>
        <row r="50">
          <cell r="F50" t="e">
            <v>#DIV/0!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Y50" t="e">
            <v>#DIV/0!</v>
          </cell>
          <cell r="Z50" t="e">
            <v>#DIV/0!</v>
          </cell>
          <cell r="AA50" t="e">
            <v>#DIV/0!</v>
          </cell>
          <cell r="AB50" t="e">
            <v>#DIV/0!</v>
          </cell>
          <cell r="AC50" t="e">
            <v>#DIV/0!</v>
          </cell>
          <cell r="AD50" t="e">
            <v>#DIV/0!</v>
          </cell>
          <cell r="AE50" t="e">
            <v>#DIV/0!</v>
          </cell>
          <cell r="AF50" t="e">
            <v>#DIV/0!</v>
          </cell>
          <cell r="AG50" t="e">
            <v>#DIV/0!</v>
          </cell>
          <cell r="AH50" t="e">
            <v>#DIV/0!</v>
          </cell>
          <cell r="AI50" t="e">
            <v>#DIV/0!</v>
          </cell>
          <cell r="AJ50" t="e">
            <v>#DIV/0!</v>
          </cell>
          <cell r="AK50" t="e">
            <v>#DIV/0!</v>
          </cell>
          <cell r="AL50" t="e">
            <v>#DIV/0!</v>
          </cell>
          <cell r="AM50" t="e">
            <v>#DIV/0!</v>
          </cell>
          <cell r="AN50" t="e">
            <v>#DIV/0!</v>
          </cell>
          <cell r="AO50" t="e">
            <v>#DIV/0!</v>
          </cell>
          <cell r="AP50" t="e">
            <v>#DIV/0!</v>
          </cell>
          <cell r="AQ50" t="e">
            <v>#DIV/0!</v>
          </cell>
          <cell r="AR50" t="e">
            <v>#DIV/0!</v>
          </cell>
          <cell r="AS50" t="e">
            <v>#DIV/0!</v>
          </cell>
          <cell r="AT50" t="e">
            <v>#DIV/0!</v>
          </cell>
          <cell r="AU50" t="e">
            <v>#DIV/0!</v>
          </cell>
          <cell r="AV50" t="e">
            <v>#DIV/0!</v>
          </cell>
          <cell r="AW50" t="e">
            <v>#DIV/0!</v>
          </cell>
          <cell r="AX50" t="e">
            <v>#DIV/0!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</row>
        <row r="68">
          <cell r="F68">
            <v>1.0039683787044291</v>
          </cell>
          <cell r="G68">
            <v>1.0240477462785178</v>
          </cell>
          <cell r="H68">
            <v>1.0445287012040883</v>
          </cell>
          <cell r="I68">
            <v>1.0654192752281699</v>
          </cell>
          <cell r="J68">
            <v>1.0867276607327334</v>
          </cell>
          <cell r="K68">
            <v>1.1084622139473881</v>
          </cell>
          <cell r="L68">
            <v>1.1306314582263359</v>
          </cell>
          <cell r="M68">
            <v>1.1532440873908627</v>
          </cell>
          <cell r="N68">
            <v>1.1763089691386799</v>
          </cell>
          <cell r="O68">
            <v>1.1998351485214536</v>
          </cell>
          <cell r="P68">
            <v>1.2238318514918827</v>
          </cell>
          <cell r="Q68">
            <v>1.2483084885217204</v>
          </cell>
          <cell r="R68">
            <v>1.2732746582921548</v>
          </cell>
          <cell r="S68">
            <v>1.2987401514579979</v>
          </cell>
          <cell r="T68">
            <v>1.3247149544871579</v>
          </cell>
          <cell r="U68">
            <v>1.3512092535769011</v>
          </cell>
          <cell r="V68">
            <v>1.3782334386484392</v>
          </cell>
          <cell r="W68">
            <v>1.4057981074214079</v>
          </cell>
          <cell r="X68">
            <v>1.433914069569836</v>
          </cell>
          <cell r="Y68">
            <v>1.4625923509612329</v>
          </cell>
          <cell r="Z68">
            <v>1.4918441979804575</v>
          </cell>
          <cell r="AA68">
            <v>1.5216810819400668</v>
          </cell>
          <cell r="AB68">
            <v>1.552114703578868</v>
          </cell>
          <cell r="AC68">
            <v>1.5831569976504454</v>
          </cell>
          <cell r="AD68">
            <v>1.6148201376034543</v>
          </cell>
          <cell r="AE68">
            <v>1.6471165403555235</v>
          </cell>
          <cell r="AF68">
            <v>1.6800588711626339</v>
          </cell>
          <cell r="AG68">
            <v>1.7136600485858866</v>
          </cell>
          <cell r="AH68">
            <v>1.7479332495576043</v>
          </cell>
          <cell r="AI68">
            <v>1.7828919145487565</v>
          </cell>
          <cell r="AJ68">
            <v>1.8185497528397316</v>
          </cell>
          <cell r="AK68">
            <v>1.8549207478965264</v>
          </cell>
          <cell r="AL68">
            <v>1.8920191628544569</v>
          </cell>
          <cell r="AM68">
            <v>1.9298595461115462</v>
          </cell>
          <cell r="AN68">
            <v>1.9684567370337771</v>
          </cell>
          <cell r="AO68">
            <v>2.0078258717744526</v>
          </cell>
          <cell r="AP68">
            <v>2.0479823892099418</v>
          </cell>
          <cell r="AQ68">
            <v>2.0889420369941405</v>
          </cell>
          <cell r="AR68">
            <v>2.1307208777340234</v>
          </cell>
          <cell r="AS68">
            <v>2.1733352952887039</v>
          </cell>
          <cell r="AT68">
            <v>2.2168020011944782</v>
          </cell>
          <cell r="AU68">
            <v>2.2611380412183677</v>
          </cell>
          <cell r="AV68">
            <v>2.3063608020427351</v>
          </cell>
          <cell r="AW68">
            <v>2.3524880180835899</v>
          </cell>
          <cell r="AX68">
            <v>2.3995377784452616</v>
          </cell>
          <cell r="AY68">
            <v>2.4475285340141668</v>
          </cell>
        </row>
        <row r="94">
          <cell r="D94">
            <v>-3.5500000000000002E-3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2.8050041044586678</v>
          </cell>
          <cell r="L139">
            <v>13.151492908963395</v>
          </cell>
          <cell r="M139">
            <v>12.857134357941142</v>
          </cell>
          <cell r="N139">
            <v>12.839618547022445</v>
          </cell>
          <cell r="O139">
            <v>12.839532240964477</v>
          </cell>
          <cell r="P139">
            <v>12.83944928147683</v>
          </cell>
          <cell r="Q139">
            <v>12.855988145707407</v>
          </cell>
          <cell r="R139">
            <v>12.839593992587147</v>
          </cell>
          <cell r="S139">
            <v>12.839523918960598</v>
          </cell>
          <cell r="T139">
            <v>12.839459205930241</v>
          </cell>
          <cell r="U139">
            <v>12.855017087905679</v>
          </cell>
          <cell r="V139">
            <v>12.839589229311898</v>
          </cell>
          <cell r="W139">
            <v>12.839544345148086</v>
          </cell>
          <cell r="X139">
            <v>12.83950746699227</v>
          </cell>
          <cell r="Y139">
            <v>12.854321018929992</v>
          </cell>
          <cell r="Z139">
            <v>12.839614110014978</v>
          </cell>
          <cell r="AA139">
            <v>12.839606134252449</v>
          </cell>
          <cell r="AB139">
            <v>12.839609606280987</v>
          </cell>
          <cell r="AC139">
            <v>12.854030007412725</v>
          </cell>
          <cell r="AD139">
            <v>12.83968176303649</v>
          </cell>
          <cell r="AE139">
            <v>12.839725893206763</v>
          </cell>
          <cell r="AF139">
            <v>12.839785913829996</v>
          </cell>
          <cell r="AG139">
            <v>12.854312006543505</v>
          </cell>
          <cell r="AH139">
            <v>12.839809523104444</v>
          </cell>
          <cell r="AI139">
            <v>12.839925323043627</v>
          </cell>
          <cell r="AJ139">
            <v>12.840062710004577</v>
          </cell>
          <cell r="AK139">
            <v>12.855382280194398</v>
          </cell>
          <cell r="AL139">
            <v>12.840020104814071</v>
          </cell>
          <cell r="AM139">
            <v>12.840232602245731</v>
          </cell>
          <cell r="AN139">
            <v>12.840473949703711</v>
          </cell>
          <cell r="AO139">
            <v>10.694154447902422</v>
          </cell>
          <cell r="AP139">
            <v>1.1430902520833304E-16</v>
          </cell>
          <cell r="AQ139">
            <v>1.1430902520833304E-16</v>
          </cell>
          <cell r="AR139">
            <v>1.1430902520833304E-16</v>
          </cell>
          <cell r="AS139">
            <v>1.1430902520833304E-16</v>
          </cell>
          <cell r="AT139">
            <v>1.1430902520833304E-16</v>
          </cell>
          <cell r="AU139">
            <v>1.1430902520833304E-16</v>
          </cell>
          <cell r="AV139">
            <v>1.1430902520833304E-16</v>
          </cell>
          <cell r="AW139">
            <v>1.1430902520833304E-16</v>
          </cell>
          <cell r="AX139">
            <v>1.1430902520833304E-16</v>
          </cell>
          <cell r="AY139">
            <v>1.1430902520833304E-16</v>
          </cell>
        </row>
        <row r="149">
          <cell r="D149">
            <v>1</v>
          </cell>
        </row>
        <row r="151">
          <cell r="D151">
            <v>0.4</v>
          </cell>
        </row>
        <row r="181">
          <cell r="D181" t="e">
            <v>#DIV/0!</v>
          </cell>
        </row>
        <row r="182">
          <cell r="D182" t="e">
            <v>#DIV/0!</v>
          </cell>
        </row>
        <row r="183">
          <cell r="D183" t="e">
            <v>#DIV/0!</v>
          </cell>
        </row>
        <row r="184">
          <cell r="D184" t="e">
            <v>#DIV/0!</v>
          </cell>
        </row>
        <row r="185">
          <cell r="D185" t="e">
            <v>#DIV/0!</v>
          </cell>
        </row>
        <row r="219">
          <cell r="D219">
            <v>221.33061427541122</v>
          </cell>
        </row>
      </sheetData>
      <sheetData sheetId="14" refreshError="1">
        <row r="263">
          <cell r="F263" t="str">
            <v>-</v>
          </cell>
          <cell r="G263" t="e">
            <v>#DIV/0!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 t="e">
            <v>#DIV/0!</v>
          </cell>
          <cell r="R263" t="e">
            <v>#DIV/0!</v>
          </cell>
          <cell r="S263" t="e">
            <v>#DIV/0!</v>
          </cell>
          <cell r="T263" t="e">
            <v>#DIV/0!</v>
          </cell>
          <cell r="U263" t="e">
            <v>#DIV/0!</v>
          </cell>
          <cell r="V263" t="e">
            <v>#DIV/0!</v>
          </cell>
          <cell r="W263" t="e">
            <v>#DIV/0!</v>
          </cell>
          <cell r="X263" t="e">
            <v>#DIV/0!</v>
          </cell>
          <cell r="Y263" t="e">
            <v>#DIV/0!</v>
          </cell>
          <cell r="Z263" t="e">
            <v>#DIV/0!</v>
          </cell>
          <cell r="AA263" t="e">
            <v>#DIV/0!</v>
          </cell>
          <cell r="AB263" t="e">
            <v>#DIV/0!</v>
          </cell>
          <cell r="AC263" t="e">
            <v>#DIV/0!</v>
          </cell>
          <cell r="AD263" t="e">
            <v>#DIV/0!</v>
          </cell>
          <cell r="AE263" t="e">
            <v>#DIV/0!</v>
          </cell>
          <cell r="AF263" t="e">
            <v>#DIV/0!</v>
          </cell>
          <cell r="AG263" t="e">
            <v>#DIV/0!</v>
          </cell>
          <cell r="AH263" t="e">
            <v>#DIV/0!</v>
          </cell>
          <cell r="AI263" t="e">
            <v>#DIV/0!</v>
          </cell>
          <cell r="AJ263" t="e">
            <v>#DIV/0!</v>
          </cell>
          <cell r="AK263" t="e">
            <v>#DIV/0!</v>
          </cell>
          <cell r="AL263" t="e">
            <v>#DIV/0!</v>
          </cell>
          <cell r="AM263" t="e">
            <v>#DIV/0!</v>
          </cell>
          <cell r="AN263" t="e">
            <v>#DIV/0!</v>
          </cell>
          <cell r="AO263" t="e">
            <v>#DIV/0!</v>
          </cell>
          <cell r="AP263" t="e">
            <v>#DIV/0!</v>
          </cell>
          <cell r="AQ263" t="e">
            <v>#DIV/0!</v>
          </cell>
          <cell r="AR263" t="e">
            <v>#DIV/0!</v>
          </cell>
          <cell r="AS263" t="e">
            <v>#DIV/0!</v>
          </cell>
          <cell r="AT263" t="e">
            <v>#DIV/0!</v>
          </cell>
          <cell r="AU263" t="e">
            <v>#DIV/0!</v>
          </cell>
          <cell r="AV263" t="e">
            <v>#DIV/0!</v>
          </cell>
          <cell r="AW263" t="e">
            <v>#DIV/0!</v>
          </cell>
          <cell r="AX263" t="e">
            <v>#DIV/0!</v>
          </cell>
          <cell r="AY263" t="e">
            <v>#DIV/0!</v>
          </cell>
        </row>
        <row r="264"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  <cell r="K264" t="str">
            <v>-</v>
          </cell>
          <cell r="L264">
            <v>2.2441515842921742</v>
          </cell>
          <cell r="M264">
            <v>2.2824731767725024</v>
          </cell>
          <cell r="N264">
            <v>2.3266293514689398</v>
          </cell>
          <cell r="O264">
            <v>2.1698872638574258</v>
          </cell>
          <cell r="P264">
            <v>2.26468488279879</v>
          </cell>
          <cell r="Q264">
            <v>2.4036228049163304</v>
          </cell>
          <cell r="R264">
            <v>2.6517094918945761</v>
          </cell>
          <cell r="S264">
            <v>3.20535505046761</v>
          </cell>
          <cell r="T264">
            <v>8.019216181853281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Y264" t="str">
            <v>-</v>
          </cell>
          <cell r="Z264" t="str">
            <v>-</v>
          </cell>
          <cell r="AA264" t="str">
            <v>-</v>
          </cell>
          <cell r="AB264" t="str">
            <v>-</v>
          </cell>
          <cell r="AC264" t="str">
            <v>-</v>
          </cell>
          <cell r="AD264" t="str">
            <v>-</v>
          </cell>
          <cell r="AE264" t="str">
            <v>-</v>
          </cell>
          <cell r="AF264" t="str">
            <v>-</v>
          </cell>
          <cell r="AG264" t="str">
            <v>-</v>
          </cell>
          <cell r="AH264" t="str">
            <v>-</v>
          </cell>
          <cell r="AI264" t="str">
            <v>-</v>
          </cell>
          <cell r="AJ264" t="str">
            <v>-</v>
          </cell>
          <cell r="AK264" t="str">
            <v>-</v>
          </cell>
          <cell r="AL264" t="str">
            <v>-</v>
          </cell>
          <cell r="AM264" t="str">
            <v>-</v>
          </cell>
          <cell r="AN264" t="str">
            <v>-</v>
          </cell>
          <cell r="AO264" t="str">
            <v>-</v>
          </cell>
          <cell r="AP264" t="str">
            <v>-</v>
          </cell>
          <cell r="AQ264" t="str">
            <v>-</v>
          </cell>
          <cell r="AR264" t="str">
            <v>-</v>
          </cell>
          <cell r="AS264" t="str">
            <v>-</v>
          </cell>
          <cell r="AT264" t="str">
            <v>-</v>
          </cell>
          <cell r="AU264" t="str">
            <v>-</v>
          </cell>
          <cell r="AV264" t="str">
            <v>-</v>
          </cell>
          <cell r="AW264" t="str">
            <v>-</v>
          </cell>
          <cell r="AX264" t="str">
            <v>-</v>
          </cell>
          <cell r="AY264" t="str">
            <v>-</v>
          </cell>
        </row>
      </sheetData>
      <sheetData sheetId="15" refreshError="1"/>
      <sheetData sheetId="16" refreshError="1"/>
      <sheetData sheetId="17" refreshError="1"/>
      <sheetData sheetId="18" refreshError="1">
        <row r="8">
          <cell r="A8">
            <v>1</v>
          </cell>
        </row>
        <row r="9">
          <cell r="B9" t="str">
            <v>Sponsor Case - Courbe C2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g"/>
      <sheetName val="sommaire"/>
      <sheetName val="Hyp financement"/>
      <sheetName val="F1"/>
      <sheetName val="F2"/>
      <sheetName val="F3 MANIIO"/>
      <sheetName val="Hyp coûts d'exploitation"/>
      <sheetName val="F3 UNIVERSITE"/>
      <sheetName val="F4"/>
      <sheetName val="F5"/>
      <sheetName val="AUTRE PROJET"/>
      <sheetName val="Personnel mis à disposition"/>
      <sheetName val="Recettes Lorient"/>
      <sheetName val="analyse €MWh"/>
    </sheetNames>
    <sheetDataSet>
      <sheetData sheetId="0" refreshError="1"/>
      <sheetData sheetId="1" refreshError="1"/>
      <sheetData sheetId="2" refreshError="1"/>
      <sheetData sheetId="3" refreshError="1">
        <row r="10">
          <cell r="C10">
            <v>6000</v>
          </cell>
        </row>
        <row r="12">
          <cell r="B12">
            <v>0</v>
          </cell>
        </row>
        <row r="14">
          <cell r="B14">
            <v>0</v>
          </cell>
        </row>
        <row r="81">
          <cell r="D81">
            <v>30.894451298701298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3164.6354059078699</v>
          </cell>
          <cell r="F135">
            <v>26156.735530134883</v>
          </cell>
          <cell r="G135">
            <v>26156.735530134883</v>
          </cell>
        </row>
      </sheetData>
      <sheetData sheetId="4" refreshError="1"/>
      <sheetData sheetId="5" refreshError="1"/>
      <sheetData sheetId="6" refreshError="1"/>
      <sheetData sheetId="7" refreshError="1">
        <row r="49">
          <cell r="C49">
            <v>3232000</v>
          </cell>
        </row>
        <row r="53">
          <cell r="C53">
            <v>1616000</v>
          </cell>
        </row>
        <row r="102">
          <cell r="G102">
            <v>32540.803775999997</v>
          </cell>
          <cell r="H102">
            <v>31673.943178029615</v>
          </cell>
          <cell r="I102">
            <v>30794.079671089672</v>
          </cell>
        </row>
      </sheetData>
      <sheetData sheetId="8" refreshError="1">
        <row r="4">
          <cell r="B4">
            <v>2017</v>
          </cell>
        </row>
        <row r="105">
          <cell r="C105">
            <v>35.342903647058932</v>
          </cell>
        </row>
        <row r="259">
          <cell r="F259">
            <v>77.643965191210327</v>
          </cell>
        </row>
        <row r="265">
          <cell r="F265">
            <v>86.153672648048612</v>
          </cell>
        </row>
        <row r="290">
          <cell r="D290">
            <v>28.926539000724834</v>
          </cell>
        </row>
        <row r="291">
          <cell r="D291">
            <v>26.596085766137136</v>
          </cell>
        </row>
        <row r="295">
          <cell r="B295">
            <v>1</v>
          </cell>
        </row>
      </sheetData>
      <sheetData sheetId="9" refreshError="1"/>
      <sheetData sheetId="10" refreshError="1">
        <row r="53">
          <cell r="C53">
            <v>448400</v>
          </cell>
        </row>
        <row r="102">
          <cell r="E102">
            <v>0</v>
          </cell>
          <cell r="F102">
            <v>0</v>
          </cell>
          <cell r="G102">
            <v>9029.2675823999998</v>
          </cell>
          <cell r="H102">
            <v>8788.7352234087102</v>
          </cell>
          <cell r="I102">
            <v>8544.5948790325547</v>
          </cell>
        </row>
      </sheetData>
      <sheetData sheetId="11" refreshError="1">
        <row r="4">
          <cell r="E4">
            <v>58527</v>
          </cell>
        </row>
        <row r="7">
          <cell r="E7">
            <v>39522</v>
          </cell>
        </row>
        <row r="10">
          <cell r="E10">
            <v>41704</v>
          </cell>
        </row>
        <row r="13">
          <cell r="E13">
            <v>35542.5</v>
          </cell>
        </row>
        <row r="16">
          <cell r="E16">
            <v>41749</v>
          </cell>
        </row>
        <row r="19">
          <cell r="E19">
            <v>71016</v>
          </cell>
        </row>
      </sheetData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g"/>
      <sheetName val="sommaire"/>
      <sheetName val="Hyp financement"/>
      <sheetName val="F1"/>
      <sheetName val="F2"/>
      <sheetName val="F3 MANIIO"/>
      <sheetName val="Hyp coûts d'exploitation"/>
      <sheetName val="F3 UNIVERSITE"/>
      <sheetName val="F4"/>
      <sheetName val="F5"/>
      <sheetName val="AUTRE PROJET"/>
      <sheetName val="Personnel mis à disposition"/>
      <sheetName val="Recettes Lorient"/>
      <sheetName val="analyse €M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8"/>
  <sheetViews>
    <sheetView zoomScale="90" zoomScaleNormal="90" workbookViewId="0">
      <pane ySplit="8" topLeftCell="A111" activePane="bottomLeft" state="frozen"/>
      <selection pane="bottomLeft" activeCell="C123" sqref="C123"/>
    </sheetView>
  </sheetViews>
  <sheetFormatPr baseColWidth="10" defaultRowHeight="12.75" x14ac:dyDescent="0.2"/>
  <cols>
    <col min="1" max="1" width="39.5703125" style="16" customWidth="1"/>
    <col min="2" max="2" width="12.7109375" style="16" customWidth="1"/>
    <col min="3" max="3" width="13.28515625" style="16" bestFit="1" customWidth="1"/>
    <col min="4" max="4" width="15.28515625" style="16" customWidth="1"/>
    <col min="5" max="7" width="14.42578125" style="16" bestFit="1" customWidth="1"/>
    <col min="8" max="8" width="11.7109375" style="16" customWidth="1"/>
    <col min="9" max="9" width="21.85546875" style="16" bestFit="1" customWidth="1"/>
    <col min="10" max="10" width="18.85546875" style="16" customWidth="1"/>
    <col min="11" max="11" width="20.5703125" style="16" customWidth="1"/>
    <col min="12" max="12" width="11.42578125" style="16"/>
    <col min="13" max="13" width="24.28515625" style="16" customWidth="1"/>
    <col min="14" max="14" width="27.7109375" style="16" customWidth="1"/>
    <col min="15" max="256" width="11.42578125" style="16"/>
    <col min="257" max="257" width="39.5703125" style="16" customWidth="1"/>
    <col min="258" max="258" width="28.42578125" style="16" bestFit="1" customWidth="1"/>
    <col min="259" max="259" width="13.28515625" style="16" bestFit="1" customWidth="1"/>
    <col min="260" max="260" width="15.28515625" style="16" customWidth="1"/>
    <col min="261" max="263" width="14.42578125" style="16" bestFit="1" customWidth="1"/>
    <col min="264" max="264" width="11.7109375" style="16" customWidth="1"/>
    <col min="265" max="265" width="21.85546875" style="16" bestFit="1" customWidth="1"/>
    <col min="266" max="266" width="18.85546875" style="16" customWidth="1"/>
    <col min="267" max="267" width="20.5703125" style="16" customWidth="1"/>
    <col min="268" max="268" width="11.42578125" style="16"/>
    <col min="269" max="269" width="24.28515625" style="16" customWidth="1"/>
    <col min="270" max="270" width="27.7109375" style="16" customWidth="1"/>
    <col min="271" max="512" width="11.42578125" style="16"/>
    <col min="513" max="513" width="39.5703125" style="16" customWidth="1"/>
    <col min="514" max="514" width="28.42578125" style="16" bestFit="1" customWidth="1"/>
    <col min="515" max="515" width="13.28515625" style="16" bestFit="1" customWidth="1"/>
    <col min="516" max="516" width="15.28515625" style="16" customWidth="1"/>
    <col min="517" max="519" width="14.42578125" style="16" bestFit="1" customWidth="1"/>
    <col min="520" max="520" width="11.7109375" style="16" customWidth="1"/>
    <col min="521" max="521" width="21.85546875" style="16" bestFit="1" customWidth="1"/>
    <col min="522" max="522" width="18.85546875" style="16" customWidth="1"/>
    <col min="523" max="523" width="20.5703125" style="16" customWidth="1"/>
    <col min="524" max="524" width="11.42578125" style="16"/>
    <col min="525" max="525" width="24.28515625" style="16" customWidth="1"/>
    <col min="526" max="526" width="27.7109375" style="16" customWidth="1"/>
    <col min="527" max="768" width="11.42578125" style="16"/>
    <col min="769" max="769" width="39.5703125" style="16" customWidth="1"/>
    <col min="770" max="770" width="28.42578125" style="16" bestFit="1" customWidth="1"/>
    <col min="771" max="771" width="13.28515625" style="16" bestFit="1" customWidth="1"/>
    <col min="772" max="772" width="15.28515625" style="16" customWidth="1"/>
    <col min="773" max="775" width="14.42578125" style="16" bestFit="1" customWidth="1"/>
    <col min="776" max="776" width="11.7109375" style="16" customWidth="1"/>
    <col min="777" max="777" width="21.85546875" style="16" bestFit="1" customWidth="1"/>
    <col min="778" max="778" width="18.85546875" style="16" customWidth="1"/>
    <col min="779" max="779" width="20.5703125" style="16" customWidth="1"/>
    <col min="780" max="780" width="11.42578125" style="16"/>
    <col min="781" max="781" width="24.28515625" style="16" customWidth="1"/>
    <col min="782" max="782" width="27.7109375" style="16" customWidth="1"/>
    <col min="783" max="1024" width="11.42578125" style="16"/>
    <col min="1025" max="1025" width="39.5703125" style="16" customWidth="1"/>
    <col min="1026" max="1026" width="28.42578125" style="16" bestFit="1" customWidth="1"/>
    <col min="1027" max="1027" width="13.28515625" style="16" bestFit="1" customWidth="1"/>
    <col min="1028" max="1028" width="15.28515625" style="16" customWidth="1"/>
    <col min="1029" max="1031" width="14.42578125" style="16" bestFit="1" customWidth="1"/>
    <col min="1032" max="1032" width="11.7109375" style="16" customWidth="1"/>
    <col min="1033" max="1033" width="21.85546875" style="16" bestFit="1" customWidth="1"/>
    <col min="1034" max="1034" width="18.85546875" style="16" customWidth="1"/>
    <col min="1035" max="1035" width="20.5703125" style="16" customWidth="1"/>
    <col min="1036" max="1036" width="11.42578125" style="16"/>
    <col min="1037" max="1037" width="24.28515625" style="16" customWidth="1"/>
    <col min="1038" max="1038" width="27.7109375" style="16" customWidth="1"/>
    <col min="1039" max="1280" width="11.42578125" style="16"/>
    <col min="1281" max="1281" width="39.5703125" style="16" customWidth="1"/>
    <col min="1282" max="1282" width="28.42578125" style="16" bestFit="1" customWidth="1"/>
    <col min="1283" max="1283" width="13.28515625" style="16" bestFit="1" customWidth="1"/>
    <col min="1284" max="1284" width="15.28515625" style="16" customWidth="1"/>
    <col min="1285" max="1287" width="14.42578125" style="16" bestFit="1" customWidth="1"/>
    <col min="1288" max="1288" width="11.7109375" style="16" customWidth="1"/>
    <col min="1289" max="1289" width="21.85546875" style="16" bestFit="1" customWidth="1"/>
    <col min="1290" max="1290" width="18.85546875" style="16" customWidth="1"/>
    <col min="1291" max="1291" width="20.5703125" style="16" customWidth="1"/>
    <col min="1292" max="1292" width="11.42578125" style="16"/>
    <col min="1293" max="1293" width="24.28515625" style="16" customWidth="1"/>
    <col min="1294" max="1294" width="27.7109375" style="16" customWidth="1"/>
    <col min="1295" max="1536" width="11.42578125" style="16"/>
    <col min="1537" max="1537" width="39.5703125" style="16" customWidth="1"/>
    <col min="1538" max="1538" width="28.42578125" style="16" bestFit="1" customWidth="1"/>
    <col min="1539" max="1539" width="13.28515625" style="16" bestFit="1" customWidth="1"/>
    <col min="1540" max="1540" width="15.28515625" style="16" customWidth="1"/>
    <col min="1541" max="1543" width="14.42578125" style="16" bestFit="1" customWidth="1"/>
    <col min="1544" max="1544" width="11.7109375" style="16" customWidth="1"/>
    <col min="1545" max="1545" width="21.85546875" style="16" bestFit="1" customWidth="1"/>
    <col min="1546" max="1546" width="18.85546875" style="16" customWidth="1"/>
    <col min="1547" max="1547" width="20.5703125" style="16" customWidth="1"/>
    <col min="1548" max="1548" width="11.42578125" style="16"/>
    <col min="1549" max="1549" width="24.28515625" style="16" customWidth="1"/>
    <col min="1550" max="1550" width="27.7109375" style="16" customWidth="1"/>
    <col min="1551" max="1792" width="11.42578125" style="16"/>
    <col min="1793" max="1793" width="39.5703125" style="16" customWidth="1"/>
    <col min="1794" max="1794" width="28.42578125" style="16" bestFit="1" customWidth="1"/>
    <col min="1795" max="1795" width="13.28515625" style="16" bestFit="1" customWidth="1"/>
    <col min="1796" max="1796" width="15.28515625" style="16" customWidth="1"/>
    <col min="1797" max="1799" width="14.42578125" style="16" bestFit="1" customWidth="1"/>
    <col min="1800" max="1800" width="11.7109375" style="16" customWidth="1"/>
    <col min="1801" max="1801" width="21.85546875" style="16" bestFit="1" customWidth="1"/>
    <col min="1802" max="1802" width="18.85546875" style="16" customWidth="1"/>
    <col min="1803" max="1803" width="20.5703125" style="16" customWidth="1"/>
    <col min="1804" max="1804" width="11.42578125" style="16"/>
    <col min="1805" max="1805" width="24.28515625" style="16" customWidth="1"/>
    <col min="1806" max="1806" width="27.7109375" style="16" customWidth="1"/>
    <col min="1807" max="2048" width="11.42578125" style="16"/>
    <col min="2049" max="2049" width="39.5703125" style="16" customWidth="1"/>
    <col min="2050" max="2050" width="28.42578125" style="16" bestFit="1" customWidth="1"/>
    <col min="2051" max="2051" width="13.28515625" style="16" bestFit="1" customWidth="1"/>
    <col min="2052" max="2052" width="15.28515625" style="16" customWidth="1"/>
    <col min="2053" max="2055" width="14.42578125" style="16" bestFit="1" customWidth="1"/>
    <col min="2056" max="2056" width="11.7109375" style="16" customWidth="1"/>
    <col min="2057" max="2057" width="21.85546875" style="16" bestFit="1" customWidth="1"/>
    <col min="2058" max="2058" width="18.85546875" style="16" customWidth="1"/>
    <col min="2059" max="2059" width="20.5703125" style="16" customWidth="1"/>
    <col min="2060" max="2060" width="11.42578125" style="16"/>
    <col min="2061" max="2061" width="24.28515625" style="16" customWidth="1"/>
    <col min="2062" max="2062" width="27.7109375" style="16" customWidth="1"/>
    <col min="2063" max="2304" width="11.42578125" style="16"/>
    <col min="2305" max="2305" width="39.5703125" style="16" customWidth="1"/>
    <col min="2306" max="2306" width="28.42578125" style="16" bestFit="1" customWidth="1"/>
    <col min="2307" max="2307" width="13.28515625" style="16" bestFit="1" customWidth="1"/>
    <col min="2308" max="2308" width="15.28515625" style="16" customWidth="1"/>
    <col min="2309" max="2311" width="14.42578125" style="16" bestFit="1" customWidth="1"/>
    <col min="2312" max="2312" width="11.7109375" style="16" customWidth="1"/>
    <col min="2313" max="2313" width="21.85546875" style="16" bestFit="1" customWidth="1"/>
    <col min="2314" max="2314" width="18.85546875" style="16" customWidth="1"/>
    <col min="2315" max="2315" width="20.5703125" style="16" customWidth="1"/>
    <col min="2316" max="2316" width="11.42578125" style="16"/>
    <col min="2317" max="2317" width="24.28515625" style="16" customWidth="1"/>
    <col min="2318" max="2318" width="27.7109375" style="16" customWidth="1"/>
    <col min="2319" max="2560" width="11.42578125" style="16"/>
    <col min="2561" max="2561" width="39.5703125" style="16" customWidth="1"/>
    <col min="2562" max="2562" width="28.42578125" style="16" bestFit="1" customWidth="1"/>
    <col min="2563" max="2563" width="13.28515625" style="16" bestFit="1" customWidth="1"/>
    <col min="2564" max="2564" width="15.28515625" style="16" customWidth="1"/>
    <col min="2565" max="2567" width="14.42578125" style="16" bestFit="1" customWidth="1"/>
    <col min="2568" max="2568" width="11.7109375" style="16" customWidth="1"/>
    <col min="2569" max="2569" width="21.85546875" style="16" bestFit="1" customWidth="1"/>
    <col min="2570" max="2570" width="18.85546875" style="16" customWidth="1"/>
    <col min="2571" max="2571" width="20.5703125" style="16" customWidth="1"/>
    <col min="2572" max="2572" width="11.42578125" style="16"/>
    <col min="2573" max="2573" width="24.28515625" style="16" customWidth="1"/>
    <col min="2574" max="2574" width="27.7109375" style="16" customWidth="1"/>
    <col min="2575" max="2816" width="11.42578125" style="16"/>
    <col min="2817" max="2817" width="39.5703125" style="16" customWidth="1"/>
    <col min="2818" max="2818" width="28.42578125" style="16" bestFit="1" customWidth="1"/>
    <col min="2819" max="2819" width="13.28515625" style="16" bestFit="1" customWidth="1"/>
    <col min="2820" max="2820" width="15.28515625" style="16" customWidth="1"/>
    <col min="2821" max="2823" width="14.42578125" style="16" bestFit="1" customWidth="1"/>
    <col min="2824" max="2824" width="11.7109375" style="16" customWidth="1"/>
    <col min="2825" max="2825" width="21.85546875" style="16" bestFit="1" customWidth="1"/>
    <col min="2826" max="2826" width="18.85546875" style="16" customWidth="1"/>
    <col min="2827" max="2827" width="20.5703125" style="16" customWidth="1"/>
    <col min="2828" max="2828" width="11.42578125" style="16"/>
    <col min="2829" max="2829" width="24.28515625" style="16" customWidth="1"/>
    <col min="2830" max="2830" width="27.7109375" style="16" customWidth="1"/>
    <col min="2831" max="3072" width="11.42578125" style="16"/>
    <col min="3073" max="3073" width="39.5703125" style="16" customWidth="1"/>
    <col min="3074" max="3074" width="28.42578125" style="16" bestFit="1" customWidth="1"/>
    <col min="3075" max="3075" width="13.28515625" style="16" bestFit="1" customWidth="1"/>
    <col min="3076" max="3076" width="15.28515625" style="16" customWidth="1"/>
    <col min="3077" max="3079" width="14.42578125" style="16" bestFit="1" customWidth="1"/>
    <col min="3080" max="3080" width="11.7109375" style="16" customWidth="1"/>
    <col min="3081" max="3081" width="21.85546875" style="16" bestFit="1" customWidth="1"/>
    <col min="3082" max="3082" width="18.85546875" style="16" customWidth="1"/>
    <col min="3083" max="3083" width="20.5703125" style="16" customWidth="1"/>
    <col min="3084" max="3084" width="11.42578125" style="16"/>
    <col min="3085" max="3085" width="24.28515625" style="16" customWidth="1"/>
    <col min="3086" max="3086" width="27.7109375" style="16" customWidth="1"/>
    <col min="3087" max="3328" width="11.42578125" style="16"/>
    <col min="3329" max="3329" width="39.5703125" style="16" customWidth="1"/>
    <col min="3330" max="3330" width="28.42578125" style="16" bestFit="1" customWidth="1"/>
    <col min="3331" max="3331" width="13.28515625" style="16" bestFit="1" customWidth="1"/>
    <col min="3332" max="3332" width="15.28515625" style="16" customWidth="1"/>
    <col min="3333" max="3335" width="14.42578125" style="16" bestFit="1" customWidth="1"/>
    <col min="3336" max="3336" width="11.7109375" style="16" customWidth="1"/>
    <col min="3337" max="3337" width="21.85546875" style="16" bestFit="1" customWidth="1"/>
    <col min="3338" max="3338" width="18.85546875" style="16" customWidth="1"/>
    <col min="3339" max="3339" width="20.5703125" style="16" customWidth="1"/>
    <col min="3340" max="3340" width="11.42578125" style="16"/>
    <col min="3341" max="3341" width="24.28515625" style="16" customWidth="1"/>
    <col min="3342" max="3342" width="27.7109375" style="16" customWidth="1"/>
    <col min="3343" max="3584" width="11.42578125" style="16"/>
    <col min="3585" max="3585" width="39.5703125" style="16" customWidth="1"/>
    <col min="3586" max="3586" width="28.42578125" style="16" bestFit="1" customWidth="1"/>
    <col min="3587" max="3587" width="13.28515625" style="16" bestFit="1" customWidth="1"/>
    <col min="3588" max="3588" width="15.28515625" style="16" customWidth="1"/>
    <col min="3589" max="3591" width="14.42578125" style="16" bestFit="1" customWidth="1"/>
    <col min="3592" max="3592" width="11.7109375" style="16" customWidth="1"/>
    <col min="3593" max="3593" width="21.85546875" style="16" bestFit="1" customWidth="1"/>
    <col min="3594" max="3594" width="18.85546875" style="16" customWidth="1"/>
    <col min="3595" max="3595" width="20.5703125" style="16" customWidth="1"/>
    <col min="3596" max="3596" width="11.42578125" style="16"/>
    <col min="3597" max="3597" width="24.28515625" style="16" customWidth="1"/>
    <col min="3598" max="3598" width="27.7109375" style="16" customWidth="1"/>
    <col min="3599" max="3840" width="11.42578125" style="16"/>
    <col min="3841" max="3841" width="39.5703125" style="16" customWidth="1"/>
    <col min="3842" max="3842" width="28.42578125" style="16" bestFit="1" customWidth="1"/>
    <col min="3843" max="3843" width="13.28515625" style="16" bestFit="1" customWidth="1"/>
    <col min="3844" max="3844" width="15.28515625" style="16" customWidth="1"/>
    <col min="3845" max="3847" width="14.42578125" style="16" bestFit="1" customWidth="1"/>
    <col min="3848" max="3848" width="11.7109375" style="16" customWidth="1"/>
    <col min="3849" max="3849" width="21.85546875" style="16" bestFit="1" customWidth="1"/>
    <col min="3850" max="3850" width="18.85546875" style="16" customWidth="1"/>
    <col min="3851" max="3851" width="20.5703125" style="16" customWidth="1"/>
    <col min="3852" max="3852" width="11.42578125" style="16"/>
    <col min="3853" max="3853" width="24.28515625" style="16" customWidth="1"/>
    <col min="3854" max="3854" width="27.7109375" style="16" customWidth="1"/>
    <col min="3855" max="4096" width="11.42578125" style="16"/>
    <col min="4097" max="4097" width="39.5703125" style="16" customWidth="1"/>
    <col min="4098" max="4098" width="28.42578125" style="16" bestFit="1" customWidth="1"/>
    <col min="4099" max="4099" width="13.28515625" style="16" bestFit="1" customWidth="1"/>
    <col min="4100" max="4100" width="15.28515625" style="16" customWidth="1"/>
    <col min="4101" max="4103" width="14.42578125" style="16" bestFit="1" customWidth="1"/>
    <col min="4104" max="4104" width="11.7109375" style="16" customWidth="1"/>
    <col min="4105" max="4105" width="21.85546875" style="16" bestFit="1" customWidth="1"/>
    <col min="4106" max="4106" width="18.85546875" style="16" customWidth="1"/>
    <col min="4107" max="4107" width="20.5703125" style="16" customWidth="1"/>
    <col min="4108" max="4108" width="11.42578125" style="16"/>
    <col min="4109" max="4109" width="24.28515625" style="16" customWidth="1"/>
    <col min="4110" max="4110" width="27.7109375" style="16" customWidth="1"/>
    <col min="4111" max="4352" width="11.42578125" style="16"/>
    <col min="4353" max="4353" width="39.5703125" style="16" customWidth="1"/>
    <col min="4354" max="4354" width="28.42578125" style="16" bestFit="1" customWidth="1"/>
    <col min="4355" max="4355" width="13.28515625" style="16" bestFit="1" customWidth="1"/>
    <col min="4356" max="4356" width="15.28515625" style="16" customWidth="1"/>
    <col min="4357" max="4359" width="14.42578125" style="16" bestFit="1" customWidth="1"/>
    <col min="4360" max="4360" width="11.7109375" style="16" customWidth="1"/>
    <col min="4361" max="4361" width="21.85546875" style="16" bestFit="1" customWidth="1"/>
    <col min="4362" max="4362" width="18.85546875" style="16" customWidth="1"/>
    <col min="4363" max="4363" width="20.5703125" style="16" customWidth="1"/>
    <col min="4364" max="4364" width="11.42578125" style="16"/>
    <col min="4365" max="4365" width="24.28515625" style="16" customWidth="1"/>
    <col min="4366" max="4366" width="27.7109375" style="16" customWidth="1"/>
    <col min="4367" max="4608" width="11.42578125" style="16"/>
    <col min="4609" max="4609" width="39.5703125" style="16" customWidth="1"/>
    <col min="4610" max="4610" width="28.42578125" style="16" bestFit="1" customWidth="1"/>
    <col min="4611" max="4611" width="13.28515625" style="16" bestFit="1" customWidth="1"/>
    <col min="4612" max="4612" width="15.28515625" style="16" customWidth="1"/>
    <col min="4613" max="4615" width="14.42578125" style="16" bestFit="1" customWidth="1"/>
    <col min="4616" max="4616" width="11.7109375" style="16" customWidth="1"/>
    <col min="4617" max="4617" width="21.85546875" style="16" bestFit="1" customWidth="1"/>
    <col min="4618" max="4618" width="18.85546875" style="16" customWidth="1"/>
    <col min="4619" max="4619" width="20.5703125" style="16" customWidth="1"/>
    <col min="4620" max="4620" width="11.42578125" style="16"/>
    <col min="4621" max="4621" width="24.28515625" style="16" customWidth="1"/>
    <col min="4622" max="4622" width="27.7109375" style="16" customWidth="1"/>
    <col min="4623" max="4864" width="11.42578125" style="16"/>
    <col min="4865" max="4865" width="39.5703125" style="16" customWidth="1"/>
    <col min="4866" max="4866" width="28.42578125" style="16" bestFit="1" customWidth="1"/>
    <col min="4867" max="4867" width="13.28515625" style="16" bestFit="1" customWidth="1"/>
    <col min="4868" max="4868" width="15.28515625" style="16" customWidth="1"/>
    <col min="4869" max="4871" width="14.42578125" style="16" bestFit="1" customWidth="1"/>
    <col min="4872" max="4872" width="11.7109375" style="16" customWidth="1"/>
    <col min="4873" max="4873" width="21.85546875" style="16" bestFit="1" customWidth="1"/>
    <col min="4874" max="4874" width="18.85546875" style="16" customWidth="1"/>
    <col min="4875" max="4875" width="20.5703125" style="16" customWidth="1"/>
    <col min="4876" max="4876" width="11.42578125" style="16"/>
    <col min="4877" max="4877" width="24.28515625" style="16" customWidth="1"/>
    <col min="4878" max="4878" width="27.7109375" style="16" customWidth="1"/>
    <col min="4879" max="5120" width="11.42578125" style="16"/>
    <col min="5121" max="5121" width="39.5703125" style="16" customWidth="1"/>
    <col min="5122" max="5122" width="28.42578125" style="16" bestFit="1" customWidth="1"/>
    <col min="5123" max="5123" width="13.28515625" style="16" bestFit="1" customWidth="1"/>
    <col min="5124" max="5124" width="15.28515625" style="16" customWidth="1"/>
    <col min="5125" max="5127" width="14.42578125" style="16" bestFit="1" customWidth="1"/>
    <col min="5128" max="5128" width="11.7109375" style="16" customWidth="1"/>
    <col min="5129" max="5129" width="21.85546875" style="16" bestFit="1" customWidth="1"/>
    <col min="5130" max="5130" width="18.85546875" style="16" customWidth="1"/>
    <col min="5131" max="5131" width="20.5703125" style="16" customWidth="1"/>
    <col min="5132" max="5132" width="11.42578125" style="16"/>
    <col min="5133" max="5133" width="24.28515625" style="16" customWidth="1"/>
    <col min="5134" max="5134" width="27.7109375" style="16" customWidth="1"/>
    <col min="5135" max="5376" width="11.42578125" style="16"/>
    <col min="5377" max="5377" width="39.5703125" style="16" customWidth="1"/>
    <col min="5378" max="5378" width="28.42578125" style="16" bestFit="1" customWidth="1"/>
    <col min="5379" max="5379" width="13.28515625" style="16" bestFit="1" customWidth="1"/>
    <col min="5380" max="5380" width="15.28515625" style="16" customWidth="1"/>
    <col min="5381" max="5383" width="14.42578125" style="16" bestFit="1" customWidth="1"/>
    <col min="5384" max="5384" width="11.7109375" style="16" customWidth="1"/>
    <col min="5385" max="5385" width="21.85546875" style="16" bestFit="1" customWidth="1"/>
    <col min="5386" max="5386" width="18.85546875" style="16" customWidth="1"/>
    <col min="5387" max="5387" width="20.5703125" style="16" customWidth="1"/>
    <col min="5388" max="5388" width="11.42578125" style="16"/>
    <col min="5389" max="5389" width="24.28515625" style="16" customWidth="1"/>
    <col min="5390" max="5390" width="27.7109375" style="16" customWidth="1"/>
    <col min="5391" max="5632" width="11.42578125" style="16"/>
    <col min="5633" max="5633" width="39.5703125" style="16" customWidth="1"/>
    <col min="5634" max="5634" width="28.42578125" style="16" bestFit="1" customWidth="1"/>
    <col min="5635" max="5635" width="13.28515625" style="16" bestFit="1" customWidth="1"/>
    <col min="5636" max="5636" width="15.28515625" style="16" customWidth="1"/>
    <col min="5637" max="5639" width="14.42578125" style="16" bestFit="1" customWidth="1"/>
    <col min="5640" max="5640" width="11.7109375" style="16" customWidth="1"/>
    <col min="5641" max="5641" width="21.85546875" style="16" bestFit="1" customWidth="1"/>
    <col min="5642" max="5642" width="18.85546875" style="16" customWidth="1"/>
    <col min="5643" max="5643" width="20.5703125" style="16" customWidth="1"/>
    <col min="5644" max="5644" width="11.42578125" style="16"/>
    <col min="5645" max="5645" width="24.28515625" style="16" customWidth="1"/>
    <col min="5646" max="5646" width="27.7109375" style="16" customWidth="1"/>
    <col min="5647" max="5888" width="11.42578125" style="16"/>
    <col min="5889" max="5889" width="39.5703125" style="16" customWidth="1"/>
    <col min="5890" max="5890" width="28.42578125" style="16" bestFit="1" customWidth="1"/>
    <col min="5891" max="5891" width="13.28515625" style="16" bestFit="1" customWidth="1"/>
    <col min="5892" max="5892" width="15.28515625" style="16" customWidth="1"/>
    <col min="5893" max="5895" width="14.42578125" style="16" bestFit="1" customWidth="1"/>
    <col min="5896" max="5896" width="11.7109375" style="16" customWidth="1"/>
    <col min="5897" max="5897" width="21.85546875" style="16" bestFit="1" customWidth="1"/>
    <col min="5898" max="5898" width="18.85546875" style="16" customWidth="1"/>
    <col min="5899" max="5899" width="20.5703125" style="16" customWidth="1"/>
    <col min="5900" max="5900" width="11.42578125" style="16"/>
    <col min="5901" max="5901" width="24.28515625" style="16" customWidth="1"/>
    <col min="5902" max="5902" width="27.7109375" style="16" customWidth="1"/>
    <col min="5903" max="6144" width="11.42578125" style="16"/>
    <col min="6145" max="6145" width="39.5703125" style="16" customWidth="1"/>
    <col min="6146" max="6146" width="28.42578125" style="16" bestFit="1" customWidth="1"/>
    <col min="6147" max="6147" width="13.28515625" style="16" bestFit="1" customWidth="1"/>
    <col min="6148" max="6148" width="15.28515625" style="16" customWidth="1"/>
    <col min="6149" max="6151" width="14.42578125" style="16" bestFit="1" customWidth="1"/>
    <col min="6152" max="6152" width="11.7109375" style="16" customWidth="1"/>
    <col min="6153" max="6153" width="21.85546875" style="16" bestFit="1" customWidth="1"/>
    <col min="6154" max="6154" width="18.85546875" style="16" customWidth="1"/>
    <col min="6155" max="6155" width="20.5703125" style="16" customWidth="1"/>
    <col min="6156" max="6156" width="11.42578125" style="16"/>
    <col min="6157" max="6157" width="24.28515625" style="16" customWidth="1"/>
    <col min="6158" max="6158" width="27.7109375" style="16" customWidth="1"/>
    <col min="6159" max="6400" width="11.42578125" style="16"/>
    <col min="6401" max="6401" width="39.5703125" style="16" customWidth="1"/>
    <col min="6402" max="6402" width="28.42578125" style="16" bestFit="1" customWidth="1"/>
    <col min="6403" max="6403" width="13.28515625" style="16" bestFit="1" customWidth="1"/>
    <col min="6404" max="6404" width="15.28515625" style="16" customWidth="1"/>
    <col min="6405" max="6407" width="14.42578125" style="16" bestFit="1" customWidth="1"/>
    <col min="6408" max="6408" width="11.7109375" style="16" customWidth="1"/>
    <col min="6409" max="6409" width="21.85546875" style="16" bestFit="1" customWidth="1"/>
    <col min="6410" max="6410" width="18.85546875" style="16" customWidth="1"/>
    <col min="6411" max="6411" width="20.5703125" style="16" customWidth="1"/>
    <col min="6412" max="6412" width="11.42578125" style="16"/>
    <col min="6413" max="6413" width="24.28515625" style="16" customWidth="1"/>
    <col min="6414" max="6414" width="27.7109375" style="16" customWidth="1"/>
    <col min="6415" max="6656" width="11.42578125" style="16"/>
    <col min="6657" max="6657" width="39.5703125" style="16" customWidth="1"/>
    <col min="6658" max="6658" width="28.42578125" style="16" bestFit="1" customWidth="1"/>
    <col min="6659" max="6659" width="13.28515625" style="16" bestFit="1" customWidth="1"/>
    <col min="6660" max="6660" width="15.28515625" style="16" customWidth="1"/>
    <col min="6661" max="6663" width="14.42578125" style="16" bestFit="1" customWidth="1"/>
    <col min="6664" max="6664" width="11.7109375" style="16" customWidth="1"/>
    <col min="6665" max="6665" width="21.85546875" style="16" bestFit="1" customWidth="1"/>
    <col min="6666" max="6666" width="18.85546875" style="16" customWidth="1"/>
    <col min="6667" max="6667" width="20.5703125" style="16" customWidth="1"/>
    <col min="6668" max="6668" width="11.42578125" style="16"/>
    <col min="6669" max="6669" width="24.28515625" style="16" customWidth="1"/>
    <col min="6670" max="6670" width="27.7109375" style="16" customWidth="1"/>
    <col min="6671" max="6912" width="11.42578125" style="16"/>
    <col min="6913" max="6913" width="39.5703125" style="16" customWidth="1"/>
    <col min="6914" max="6914" width="28.42578125" style="16" bestFit="1" customWidth="1"/>
    <col min="6915" max="6915" width="13.28515625" style="16" bestFit="1" customWidth="1"/>
    <col min="6916" max="6916" width="15.28515625" style="16" customWidth="1"/>
    <col min="6917" max="6919" width="14.42578125" style="16" bestFit="1" customWidth="1"/>
    <col min="6920" max="6920" width="11.7109375" style="16" customWidth="1"/>
    <col min="6921" max="6921" width="21.85546875" style="16" bestFit="1" customWidth="1"/>
    <col min="6922" max="6922" width="18.85546875" style="16" customWidth="1"/>
    <col min="6923" max="6923" width="20.5703125" style="16" customWidth="1"/>
    <col min="6924" max="6924" width="11.42578125" style="16"/>
    <col min="6925" max="6925" width="24.28515625" style="16" customWidth="1"/>
    <col min="6926" max="6926" width="27.7109375" style="16" customWidth="1"/>
    <col min="6927" max="7168" width="11.42578125" style="16"/>
    <col min="7169" max="7169" width="39.5703125" style="16" customWidth="1"/>
    <col min="7170" max="7170" width="28.42578125" style="16" bestFit="1" customWidth="1"/>
    <col min="7171" max="7171" width="13.28515625" style="16" bestFit="1" customWidth="1"/>
    <col min="7172" max="7172" width="15.28515625" style="16" customWidth="1"/>
    <col min="7173" max="7175" width="14.42578125" style="16" bestFit="1" customWidth="1"/>
    <col min="7176" max="7176" width="11.7109375" style="16" customWidth="1"/>
    <col min="7177" max="7177" width="21.85546875" style="16" bestFit="1" customWidth="1"/>
    <col min="7178" max="7178" width="18.85546875" style="16" customWidth="1"/>
    <col min="7179" max="7179" width="20.5703125" style="16" customWidth="1"/>
    <col min="7180" max="7180" width="11.42578125" style="16"/>
    <col min="7181" max="7181" width="24.28515625" style="16" customWidth="1"/>
    <col min="7182" max="7182" width="27.7109375" style="16" customWidth="1"/>
    <col min="7183" max="7424" width="11.42578125" style="16"/>
    <col min="7425" max="7425" width="39.5703125" style="16" customWidth="1"/>
    <col min="7426" max="7426" width="28.42578125" style="16" bestFit="1" customWidth="1"/>
    <col min="7427" max="7427" width="13.28515625" style="16" bestFit="1" customWidth="1"/>
    <col min="7428" max="7428" width="15.28515625" style="16" customWidth="1"/>
    <col min="7429" max="7431" width="14.42578125" style="16" bestFit="1" customWidth="1"/>
    <col min="7432" max="7432" width="11.7109375" style="16" customWidth="1"/>
    <col min="7433" max="7433" width="21.85546875" style="16" bestFit="1" customWidth="1"/>
    <col min="7434" max="7434" width="18.85546875" style="16" customWidth="1"/>
    <col min="7435" max="7435" width="20.5703125" style="16" customWidth="1"/>
    <col min="7436" max="7436" width="11.42578125" style="16"/>
    <col min="7437" max="7437" width="24.28515625" style="16" customWidth="1"/>
    <col min="7438" max="7438" width="27.7109375" style="16" customWidth="1"/>
    <col min="7439" max="7680" width="11.42578125" style="16"/>
    <col min="7681" max="7681" width="39.5703125" style="16" customWidth="1"/>
    <col min="7682" max="7682" width="28.42578125" style="16" bestFit="1" customWidth="1"/>
    <col min="7683" max="7683" width="13.28515625" style="16" bestFit="1" customWidth="1"/>
    <col min="7684" max="7684" width="15.28515625" style="16" customWidth="1"/>
    <col min="7685" max="7687" width="14.42578125" style="16" bestFit="1" customWidth="1"/>
    <col min="7688" max="7688" width="11.7109375" style="16" customWidth="1"/>
    <col min="7689" max="7689" width="21.85546875" style="16" bestFit="1" customWidth="1"/>
    <col min="7690" max="7690" width="18.85546875" style="16" customWidth="1"/>
    <col min="7691" max="7691" width="20.5703125" style="16" customWidth="1"/>
    <col min="7692" max="7692" width="11.42578125" style="16"/>
    <col min="7693" max="7693" width="24.28515625" style="16" customWidth="1"/>
    <col min="7694" max="7694" width="27.7109375" style="16" customWidth="1"/>
    <col min="7695" max="7936" width="11.42578125" style="16"/>
    <col min="7937" max="7937" width="39.5703125" style="16" customWidth="1"/>
    <col min="7938" max="7938" width="28.42578125" style="16" bestFit="1" customWidth="1"/>
    <col min="7939" max="7939" width="13.28515625" style="16" bestFit="1" customWidth="1"/>
    <col min="7940" max="7940" width="15.28515625" style="16" customWidth="1"/>
    <col min="7941" max="7943" width="14.42578125" style="16" bestFit="1" customWidth="1"/>
    <col min="7944" max="7944" width="11.7109375" style="16" customWidth="1"/>
    <col min="7945" max="7945" width="21.85546875" style="16" bestFit="1" customWidth="1"/>
    <col min="7946" max="7946" width="18.85546875" style="16" customWidth="1"/>
    <col min="7947" max="7947" width="20.5703125" style="16" customWidth="1"/>
    <col min="7948" max="7948" width="11.42578125" style="16"/>
    <col min="7949" max="7949" width="24.28515625" style="16" customWidth="1"/>
    <col min="7950" max="7950" width="27.7109375" style="16" customWidth="1"/>
    <col min="7951" max="8192" width="11.42578125" style="16"/>
    <col min="8193" max="8193" width="39.5703125" style="16" customWidth="1"/>
    <col min="8194" max="8194" width="28.42578125" style="16" bestFit="1" customWidth="1"/>
    <col min="8195" max="8195" width="13.28515625" style="16" bestFit="1" customWidth="1"/>
    <col min="8196" max="8196" width="15.28515625" style="16" customWidth="1"/>
    <col min="8197" max="8199" width="14.42578125" style="16" bestFit="1" customWidth="1"/>
    <col min="8200" max="8200" width="11.7109375" style="16" customWidth="1"/>
    <col min="8201" max="8201" width="21.85546875" style="16" bestFit="1" customWidth="1"/>
    <col min="8202" max="8202" width="18.85546875" style="16" customWidth="1"/>
    <col min="8203" max="8203" width="20.5703125" style="16" customWidth="1"/>
    <col min="8204" max="8204" width="11.42578125" style="16"/>
    <col min="8205" max="8205" width="24.28515625" style="16" customWidth="1"/>
    <col min="8206" max="8206" width="27.7109375" style="16" customWidth="1"/>
    <col min="8207" max="8448" width="11.42578125" style="16"/>
    <col min="8449" max="8449" width="39.5703125" style="16" customWidth="1"/>
    <col min="8450" max="8450" width="28.42578125" style="16" bestFit="1" customWidth="1"/>
    <col min="8451" max="8451" width="13.28515625" style="16" bestFit="1" customWidth="1"/>
    <col min="8452" max="8452" width="15.28515625" style="16" customWidth="1"/>
    <col min="8453" max="8455" width="14.42578125" style="16" bestFit="1" customWidth="1"/>
    <col min="8456" max="8456" width="11.7109375" style="16" customWidth="1"/>
    <col min="8457" max="8457" width="21.85546875" style="16" bestFit="1" customWidth="1"/>
    <col min="8458" max="8458" width="18.85546875" style="16" customWidth="1"/>
    <col min="8459" max="8459" width="20.5703125" style="16" customWidth="1"/>
    <col min="8460" max="8460" width="11.42578125" style="16"/>
    <col min="8461" max="8461" width="24.28515625" style="16" customWidth="1"/>
    <col min="8462" max="8462" width="27.7109375" style="16" customWidth="1"/>
    <col min="8463" max="8704" width="11.42578125" style="16"/>
    <col min="8705" max="8705" width="39.5703125" style="16" customWidth="1"/>
    <col min="8706" max="8706" width="28.42578125" style="16" bestFit="1" customWidth="1"/>
    <col min="8707" max="8707" width="13.28515625" style="16" bestFit="1" customWidth="1"/>
    <col min="8708" max="8708" width="15.28515625" style="16" customWidth="1"/>
    <col min="8709" max="8711" width="14.42578125" style="16" bestFit="1" customWidth="1"/>
    <col min="8712" max="8712" width="11.7109375" style="16" customWidth="1"/>
    <col min="8713" max="8713" width="21.85546875" style="16" bestFit="1" customWidth="1"/>
    <col min="8714" max="8714" width="18.85546875" style="16" customWidth="1"/>
    <col min="8715" max="8715" width="20.5703125" style="16" customWidth="1"/>
    <col min="8716" max="8716" width="11.42578125" style="16"/>
    <col min="8717" max="8717" width="24.28515625" style="16" customWidth="1"/>
    <col min="8718" max="8718" width="27.7109375" style="16" customWidth="1"/>
    <col min="8719" max="8960" width="11.42578125" style="16"/>
    <col min="8961" max="8961" width="39.5703125" style="16" customWidth="1"/>
    <col min="8962" max="8962" width="28.42578125" style="16" bestFit="1" customWidth="1"/>
    <col min="8963" max="8963" width="13.28515625" style="16" bestFit="1" customWidth="1"/>
    <col min="8964" max="8964" width="15.28515625" style="16" customWidth="1"/>
    <col min="8965" max="8967" width="14.42578125" style="16" bestFit="1" customWidth="1"/>
    <col min="8968" max="8968" width="11.7109375" style="16" customWidth="1"/>
    <col min="8969" max="8969" width="21.85546875" style="16" bestFit="1" customWidth="1"/>
    <col min="8970" max="8970" width="18.85546875" style="16" customWidth="1"/>
    <col min="8971" max="8971" width="20.5703125" style="16" customWidth="1"/>
    <col min="8972" max="8972" width="11.42578125" style="16"/>
    <col min="8973" max="8973" width="24.28515625" style="16" customWidth="1"/>
    <col min="8974" max="8974" width="27.7109375" style="16" customWidth="1"/>
    <col min="8975" max="9216" width="11.42578125" style="16"/>
    <col min="9217" max="9217" width="39.5703125" style="16" customWidth="1"/>
    <col min="9218" max="9218" width="28.42578125" style="16" bestFit="1" customWidth="1"/>
    <col min="9219" max="9219" width="13.28515625" style="16" bestFit="1" customWidth="1"/>
    <col min="9220" max="9220" width="15.28515625" style="16" customWidth="1"/>
    <col min="9221" max="9223" width="14.42578125" style="16" bestFit="1" customWidth="1"/>
    <col min="9224" max="9224" width="11.7109375" style="16" customWidth="1"/>
    <col min="9225" max="9225" width="21.85546875" style="16" bestFit="1" customWidth="1"/>
    <col min="9226" max="9226" width="18.85546875" style="16" customWidth="1"/>
    <col min="9227" max="9227" width="20.5703125" style="16" customWidth="1"/>
    <col min="9228" max="9228" width="11.42578125" style="16"/>
    <col min="9229" max="9229" width="24.28515625" style="16" customWidth="1"/>
    <col min="9230" max="9230" width="27.7109375" style="16" customWidth="1"/>
    <col min="9231" max="9472" width="11.42578125" style="16"/>
    <col min="9473" max="9473" width="39.5703125" style="16" customWidth="1"/>
    <col min="9474" max="9474" width="28.42578125" style="16" bestFit="1" customWidth="1"/>
    <col min="9475" max="9475" width="13.28515625" style="16" bestFit="1" customWidth="1"/>
    <col min="9476" max="9476" width="15.28515625" style="16" customWidth="1"/>
    <col min="9477" max="9479" width="14.42578125" style="16" bestFit="1" customWidth="1"/>
    <col min="9480" max="9480" width="11.7109375" style="16" customWidth="1"/>
    <col min="9481" max="9481" width="21.85546875" style="16" bestFit="1" customWidth="1"/>
    <col min="9482" max="9482" width="18.85546875" style="16" customWidth="1"/>
    <col min="9483" max="9483" width="20.5703125" style="16" customWidth="1"/>
    <col min="9484" max="9484" width="11.42578125" style="16"/>
    <col min="9485" max="9485" width="24.28515625" style="16" customWidth="1"/>
    <col min="9486" max="9486" width="27.7109375" style="16" customWidth="1"/>
    <col min="9487" max="9728" width="11.42578125" style="16"/>
    <col min="9729" max="9729" width="39.5703125" style="16" customWidth="1"/>
    <col min="9730" max="9730" width="28.42578125" style="16" bestFit="1" customWidth="1"/>
    <col min="9731" max="9731" width="13.28515625" style="16" bestFit="1" customWidth="1"/>
    <col min="9732" max="9732" width="15.28515625" style="16" customWidth="1"/>
    <col min="9733" max="9735" width="14.42578125" style="16" bestFit="1" customWidth="1"/>
    <col min="9736" max="9736" width="11.7109375" style="16" customWidth="1"/>
    <col min="9737" max="9737" width="21.85546875" style="16" bestFit="1" customWidth="1"/>
    <col min="9738" max="9738" width="18.85546875" style="16" customWidth="1"/>
    <col min="9739" max="9739" width="20.5703125" style="16" customWidth="1"/>
    <col min="9740" max="9740" width="11.42578125" style="16"/>
    <col min="9741" max="9741" width="24.28515625" style="16" customWidth="1"/>
    <col min="9742" max="9742" width="27.7109375" style="16" customWidth="1"/>
    <col min="9743" max="9984" width="11.42578125" style="16"/>
    <col min="9985" max="9985" width="39.5703125" style="16" customWidth="1"/>
    <col min="9986" max="9986" width="28.42578125" style="16" bestFit="1" customWidth="1"/>
    <col min="9987" max="9987" width="13.28515625" style="16" bestFit="1" customWidth="1"/>
    <col min="9988" max="9988" width="15.28515625" style="16" customWidth="1"/>
    <col min="9989" max="9991" width="14.42578125" style="16" bestFit="1" customWidth="1"/>
    <col min="9992" max="9992" width="11.7109375" style="16" customWidth="1"/>
    <col min="9993" max="9993" width="21.85546875" style="16" bestFit="1" customWidth="1"/>
    <col min="9994" max="9994" width="18.85546875" style="16" customWidth="1"/>
    <col min="9995" max="9995" width="20.5703125" style="16" customWidth="1"/>
    <col min="9996" max="9996" width="11.42578125" style="16"/>
    <col min="9997" max="9997" width="24.28515625" style="16" customWidth="1"/>
    <col min="9998" max="9998" width="27.7109375" style="16" customWidth="1"/>
    <col min="9999" max="10240" width="11.42578125" style="16"/>
    <col min="10241" max="10241" width="39.5703125" style="16" customWidth="1"/>
    <col min="10242" max="10242" width="28.42578125" style="16" bestFit="1" customWidth="1"/>
    <col min="10243" max="10243" width="13.28515625" style="16" bestFit="1" customWidth="1"/>
    <col min="10244" max="10244" width="15.28515625" style="16" customWidth="1"/>
    <col min="10245" max="10247" width="14.42578125" style="16" bestFit="1" customWidth="1"/>
    <col min="10248" max="10248" width="11.7109375" style="16" customWidth="1"/>
    <col min="10249" max="10249" width="21.85546875" style="16" bestFit="1" customWidth="1"/>
    <col min="10250" max="10250" width="18.85546875" style="16" customWidth="1"/>
    <col min="10251" max="10251" width="20.5703125" style="16" customWidth="1"/>
    <col min="10252" max="10252" width="11.42578125" style="16"/>
    <col min="10253" max="10253" width="24.28515625" style="16" customWidth="1"/>
    <col min="10254" max="10254" width="27.7109375" style="16" customWidth="1"/>
    <col min="10255" max="10496" width="11.42578125" style="16"/>
    <col min="10497" max="10497" width="39.5703125" style="16" customWidth="1"/>
    <col min="10498" max="10498" width="28.42578125" style="16" bestFit="1" customWidth="1"/>
    <col min="10499" max="10499" width="13.28515625" style="16" bestFit="1" customWidth="1"/>
    <col min="10500" max="10500" width="15.28515625" style="16" customWidth="1"/>
    <col min="10501" max="10503" width="14.42578125" style="16" bestFit="1" customWidth="1"/>
    <col min="10504" max="10504" width="11.7109375" style="16" customWidth="1"/>
    <col min="10505" max="10505" width="21.85546875" style="16" bestFit="1" customWidth="1"/>
    <col min="10506" max="10506" width="18.85546875" style="16" customWidth="1"/>
    <col min="10507" max="10507" width="20.5703125" style="16" customWidth="1"/>
    <col min="10508" max="10508" width="11.42578125" style="16"/>
    <col min="10509" max="10509" width="24.28515625" style="16" customWidth="1"/>
    <col min="10510" max="10510" width="27.7109375" style="16" customWidth="1"/>
    <col min="10511" max="10752" width="11.42578125" style="16"/>
    <col min="10753" max="10753" width="39.5703125" style="16" customWidth="1"/>
    <col min="10754" max="10754" width="28.42578125" style="16" bestFit="1" customWidth="1"/>
    <col min="10755" max="10755" width="13.28515625" style="16" bestFit="1" customWidth="1"/>
    <col min="10756" max="10756" width="15.28515625" style="16" customWidth="1"/>
    <col min="10757" max="10759" width="14.42578125" style="16" bestFit="1" customWidth="1"/>
    <col min="10760" max="10760" width="11.7109375" style="16" customWidth="1"/>
    <col min="10761" max="10761" width="21.85546875" style="16" bestFit="1" customWidth="1"/>
    <col min="10762" max="10762" width="18.85546875" style="16" customWidth="1"/>
    <col min="10763" max="10763" width="20.5703125" style="16" customWidth="1"/>
    <col min="10764" max="10764" width="11.42578125" style="16"/>
    <col min="10765" max="10765" width="24.28515625" style="16" customWidth="1"/>
    <col min="10766" max="10766" width="27.7109375" style="16" customWidth="1"/>
    <col min="10767" max="11008" width="11.42578125" style="16"/>
    <col min="11009" max="11009" width="39.5703125" style="16" customWidth="1"/>
    <col min="11010" max="11010" width="28.42578125" style="16" bestFit="1" customWidth="1"/>
    <col min="11011" max="11011" width="13.28515625" style="16" bestFit="1" customWidth="1"/>
    <col min="11012" max="11012" width="15.28515625" style="16" customWidth="1"/>
    <col min="11013" max="11015" width="14.42578125" style="16" bestFit="1" customWidth="1"/>
    <col min="11016" max="11016" width="11.7109375" style="16" customWidth="1"/>
    <col min="11017" max="11017" width="21.85546875" style="16" bestFit="1" customWidth="1"/>
    <col min="11018" max="11018" width="18.85546875" style="16" customWidth="1"/>
    <col min="11019" max="11019" width="20.5703125" style="16" customWidth="1"/>
    <col min="11020" max="11020" width="11.42578125" style="16"/>
    <col min="11021" max="11021" width="24.28515625" style="16" customWidth="1"/>
    <col min="11022" max="11022" width="27.7109375" style="16" customWidth="1"/>
    <col min="11023" max="11264" width="11.42578125" style="16"/>
    <col min="11265" max="11265" width="39.5703125" style="16" customWidth="1"/>
    <col min="11266" max="11266" width="28.42578125" style="16" bestFit="1" customWidth="1"/>
    <col min="11267" max="11267" width="13.28515625" style="16" bestFit="1" customWidth="1"/>
    <col min="11268" max="11268" width="15.28515625" style="16" customWidth="1"/>
    <col min="11269" max="11271" width="14.42578125" style="16" bestFit="1" customWidth="1"/>
    <col min="11272" max="11272" width="11.7109375" style="16" customWidth="1"/>
    <col min="11273" max="11273" width="21.85546875" style="16" bestFit="1" customWidth="1"/>
    <col min="11274" max="11274" width="18.85546875" style="16" customWidth="1"/>
    <col min="11275" max="11275" width="20.5703125" style="16" customWidth="1"/>
    <col min="11276" max="11276" width="11.42578125" style="16"/>
    <col min="11277" max="11277" width="24.28515625" style="16" customWidth="1"/>
    <col min="11278" max="11278" width="27.7109375" style="16" customWidth="1"/>
    <col min="11279" max="11520" width="11.42578125" style="16"/>
    <col min="11521" max="11521" width="39.5703125" style="16" customWidth="1"/>
    <col min="11522" max="11522" width="28.42578125" style="16" bestFit="1" customWidth="1"/>
    <col min="11523" max="11523" width="13.28515625" style="16" bestFit="1" customWidth="1"/>
    <col min="11524" max="11524" width="15.28515625" style="16" customWidth="1"/>
    <col min="11525" max="11527" width="14.42578125" style="16" bestFit="1" customWidth="1"/>
    <col min="11528" max="11528" width="11.7109375" style="16" customWidth="1"/>
    <col min="11529" max="11529" width="21.85546875" style="16" bestFit="1" customWidth="1"/>
    <col min="11530" max="11530" width="18.85546875" style="16" customWidth="1"/>
    <col min="11531" max="11531" width="20.5703125" style="16" customWidth="1"/>
    <col min="11532" max="11532" width="11.42578125" style="16"/>
    <col min="11533" max="11533" width="24.28515625" style="16" customWidth="1"/>
    <col min="11534" max="11534" width="27.7109375" style="16" customWidth="1"/>
    <col min="11535" max="11776" width="11.42578125" style="16"/>
    <col min="11777" max="11777" width="39.5703125" style="16" customWidth="1"/>
    <col min="11778" max="11778" width="28.42578125" style="16" bestFit="1" customWidth="1"/>
    <col min="11779" max="11779" width="13.28515625" style="16" bestFit="1" customWidth="1"/>
    <col min="11780" max="11780" width="15.28515625" style="16" customWidth="1"/>
    <col min="11781" max="11783" width="14.42578125" style="16" bestFit="1" customWidth="1"/>
    <col min="11784" max="11784" width="11.7109375" style="16" customWidth="1"/>
    <col min="11785" max="11785" width="21.85546875" style="16" bestFit="1" customWidth="1"/>
    <col min="11786" max="11786" width="18.85546875" style="16" customWidth="1"/>
    <col min="11787" max="11787" width="20.5703125" style="16" customWidth="1"/>
    <col min="11788" max="11788" width="11.42578125" style="16"/>
    <col min="11789" max="11789" width="24.28515625" style="16" customWidth="1"/>
    <col min="11790" max="11790" width="27.7109375" style="16" customWidth="1"/>
    <col min="11791" max="12032" width="11.42578125" style="16"/>
    <col min="12033" max="12033" width="39.5703125" style="16" customWidth="1"/>
    <col min="12034" max="12034" width="28.42578125" style="16" bestFit="1" customWidth="1"/>
    <col min="12035" max="12035" width="13.28515625" style="16" bestFit="1" customWidth="1"/>
    <col min="12036" max="12036" width="15.28515625" style="16" customWidth="1"/>
    <col min="12037" max="12039" width="14.42578125" style="16" bestFit="1" customWidth="1"/>
    <col min="12040" max="12040" width="11.7109375" style="16" customWidth="1"/>
    <col min="12041" max="12041" width="21.85546875" style="16" bestFit="1" customWidth="1"/>
    <col min="12042" max="12042" width="18.85546875" style="16" customWidth="1"/>
    <col min="12043" max="12043" width="20.5703125" style="16" customWidth="1"/>
    <col min="12044" max="12044" width="11.42578125" style="16"/>
    <col min="12045" max="12045" width="24.28515625" style="16" customWidth="1"/>
    <col min="12046" max="12046" width="27.7109375" style="16" customWidth="1"/>
    <col min="12047" max="12288" width="11.42578125" style="16"/>
    <col min="12289" max="12289" width="39.5703125" style="16" customWidth="1"/>
    <col min="12290" max="12290" width="28.42578125" style="16" bestFit="1" customWidth="1"/>
    <col min="12291" max="12291" width="13.28515625" style="16" bestFit="1" customWidth="1"/>
    <col min="12292" max="12292" width="15.28515625" style="16" customWidth="1"/>
    <col min="12293" max="12295" width="14.42578125" style="16" bestFit="1" customWidth="1"/>
    <col min="12296" max="12296" width="11.7109375" style="16" customWidth="1"/>
    <col min="12297" max="12297" width="21.85546875" style="16" bestFit="1" customWidth="1"/>
    <col min="12298" max="12298" width="18.85546875" style="16" customWidth="1"/>
    <col min="12299" max="12299" width="20.5703125" style="16" customWidth="1"/>
    <col min="12300" max="12300" width="11.42578125" style="16"/>
    <col min="12301" max="12301" width="24.28515625" style="16" customWidth="1"/>
    <col min="12302" max="12302" width="27.7109375" style="16" customWidth="1"/>
    <col min="12303" max="12544" width="11.42578125" style="16"/>
    <col min="12545" max="12545" width="39.5703125" style="16" customWidth="1"/>
    <col min="12546" max="12546" width="28.42578125" style="16" bestFit="1" customWidth="1"/>
    <col min="12547" max="12547" width="13.28515625" style="16" bestFit="1" customWidth="1"/>
    <col min="12548" max="12548" width="15.28515625" style="16" customWidth="1"/>
    <col min="12549" max="12551" width="14.42578125" style="16" bestFit="1" customWidth="1"/>
    <col min="12552" max="12552" width="11.7109375" style="16" customWidth="1"/>
    <col min="12553" max="12553" width="21.85546875" style="16" bestFit="1" customWidth="1"/>
    <col min="12554" max="12554" width="18.85546875" style="16" customWidth="1"/>
    <col min="12555" max="12555" width="20.5703125" style="16" customWidth="1"/>
    <col min="12556" max="12556" width="11.42578125" style="16"/>
    <col min="12557" max="12557" width="24.28515625" style="16" customWidth="1"/>
    <col min="12558" max="12558" width="27.7109375" style="16" customWidth="1"/>
    <col min="12559" max="12800" width="11.42578125" style="16"/>
    <col min="12801" max="12801" width="39.5703125" style="16" customWidth="1"/>
    <col min="12802" max="12802" width="28.42578125" style="16" bestFit="1" customWidth="1"/>
    <col min="12803" max="12803" width="13.28515625" style="16" bestFit="1" customWidth="1"/>
    <col min="12804" max="12804" width="15.28515625" style="16" customWidth="1"/>
    <col min="12805" max="12807" width="14.42578125" style="16" bestFit="1" customWidth="1"/>
    <col min="12808" max="12808" width="11.7109375" style="16" customWidth="1"/>
    <col min="12809" max="12809" width="21.85546875" style="16" bestFit="1" customWidth="1"/>
    <col min="12810" max="12810" width="18.85546875" style="16" customWidth="1"/>
    <col min="12811" max="12811" width="20.5703125" style="16" customWidth="1"/>
    <col min="12812" max="12812" width="11.42578125" style="16"/>
    <col min="12813" max="12813" width="24.28515625" style="16" customWidth="1"/>
    <col min="12814" max="12814" width="27.7109375" style="16" customWidth="1"/>
    <col min="12815" max="13056" width="11.42578125" style="16"/>
    <col min="13057" max="13057" width="39.5703125" style="16" customWidth="1"/>
    <col min="13058" max="13058" width="28.42578125" style="16" bestFit="1" customWidth="1"/>
    <col min="13059" max="13059" width="13.28515625" style="16" bestFit="1" customWidth="1"/>
    <col min="13060" max="13060" width="15.28515625" style="16" customWidth="1"/>
    <col min="13061" max="13063" width="14.42578125" style="16" bestFit="1" customWidth="1"/>
    <col min="13064" max="13064" width="11.7109375" style="16" customWidth="1"/>
    <col min="13065" max="13065" width="21.85546875" style="16" bestFit="1" customWidth="1"/>
    <col min="13066" max="13066" width="18.85546875" style="16" customWidth="1"/>
    <col min="13067" max="13067" width="20.5703125" style="16" customWidth="1"/>
    <col min="13068" max="13068" width="11.42578125" style="16"/>
    <col min="13069" max="13069" width="24.28515625" style="16" customWidth="1"/>
    <col min="13070" max="13070" width="27.7109375" style="16" customWidth="1"/>
    <col min="13071" max="13312" width="11.42578125" style="16"/>
    <col min="13313" max="13313" width="39.5703125" style="16" customWidth="1"/>
    <col min="13314" max="13314" width="28.42578125" style="16" bestFit="1" customWidth="1"/>
    <col min="13315" max="13315" width="13.28515625" style="16" bestFit="1" customWidth="1"/>
    <col min="13316" max="13316" width="15.28515625" style="16" customWidth="1"/>
    <col min="13317" max="13319" width="14.42578125" style="16" bestFit="1" customWidth="1"/>
    <col min="13320" max="13320" width="11.7109375" style="16" customWidth="1"/>
    <col min="13321" max="13321" width="21.85546875" style="16" bestFit="1" customWidth="1"/>
    <col min="13322" max="13322" width="18.85546875" style="16" customWidth="1"/>
    <col min="13323" max="13323" width="20.5703125" style="16" customWidth="1"/>
    <col min="13324" max="13324" width="11.42578125" style="16"/>
    <col min="13325" max="13325" width="24.28515625" style="16" customWidth="1"/>
    <col min="13326" max="13326" width="27.7109375" style="16" customWidth="1"/>
    <col min="13327" max="13568" width="11.42578125" style="16"/>
    <col min="13569" max="13569" width="39.5703125" style="16" customWidth="1"/>
    <col min="13570" max="13570" width="28.42578125" style="16" bestFit="1" customWidth="1"/>
    <col min="13571" max="13571" width="13.28515625" style="16" bestFit="1" customWidth="1"/>
    <col min="13572" max="13572" width="15.28515625" style="16" customWidth="1"/>
    <col min="13573" max="13575" width="14.42578125" style="16" bestFit="1" customWidth="1"/>
    <col min="13576" max="13576" width="11.7109375" style="16" customWidth="1"/>
    <col min="13577" max="13577" width="21.85546875" style="16" bestFit="1" customWidth="1"/>
    <col min="13578" max="13578" width="18.85546875" style="16" customWidth="1"/>
    <col min="13579" max="13579" width="20.5703125" style="16" customWidth="1"/>
    <col min="13580" max="13580" width="11.42578125" style="16"/>
    <col min="13581" max="13581" width="24.28515625" style="16" customWidth="1"/>
    <col min="13582" max="13582" width="27.7109375" style="16" customWidth="1"/>
    <col min="13583" max="13824" width="11.42578125" style="16"/>
    <col min="13825" max="13825" width="39.5703125" style="16" customWidth="1"/>
    <col min="13826" max="13826" width="28.42578125" style="16" bestFit="1" customWidth="1"/>
    <col min="13827" max="13827" width="13.28515625" style="16" bestFit="1" customWidth="1"/>
    <col min="13828" max="13828" width="15.28515625" style="16" customWidth="1"/>
    <col min="13829" max="13831" width="14.42578125" style="16" bestFit="1" customWidth="1"/>
    <col min="13832" max="13832" width="11.7109375" style="16" customWidth="1"/>
    <col min="13833" max="13833" width="21.85546875" style="16" bestFit="1" customWidth="1"/>
    <col min="13834" max="13834" width="18.85546875" style="16" customWidth="1"/>
    <col min="13835" max="13835" width="20.5703125" style="16" customWidth="1"/>
    <col min="13836" max="13836" width="11.42578125" style="16"/>
    <col min="13837" max="13837" width="24.28515625" style="16" customWidth="1"/>
    <col min="13838" max="13838" width="27.7109375" style="16" customWidth="1"/>
    <col min="13839" max="14080" width="11.42578125" style="16"/>
    <col min="14081" max="14081" width="39.5703125" style="16" customWidth="1"/>
    <col min="14082" max="14082" width="28.42578125" style="16" bestFit="1" customWidth="1"/>
    <col min="14083" max="14083" width="13.28515625" style="16" bestFit="1" customWidth="1"/>
    <col min="14084" max="14084" width="15.28515625" style="16" customWidth="1"/>
    <col min="14085" max="14087" width="14.42578125" style="16" bestFit="1" customWidth="1"/>
    <col min="14088" max="14088" width="11.7109375" style="16" customWidth="1"/>
    <col min="14089" max="14089" width="21.85546875" style="16" bestFit="1" customWidth="1"/>
    <col min="14090" max="14090" width="18.85546875" style="16" customWidth="1"/>
    <col min="14091" max="14091" width="20.5703125" style="16" customWidth="1"/>
    <col min="14092" max="14092" width="11.42578125" style="16"/>
    <col min="14093" max="14093" width="24.28515625" style="16" customWidth="1"/>
    <col min="14094" max="14094" width="27.7109375" style="16" customWidth="1"/>
    <col min="14095" max="14336" width="11.42578125" style="16"/>
    <col min="14337" max="14337" width="39.5703125" style="16" customWidth="1"/>
    <col min="14338" max="14338" width="28.42578125" style="16" bestFit="1" customWidth="1"/>
    <col min="14339" max="14339" width="13.28515625" style="16" bestFit="1" customWidth="1"/>
    <col min="14340" max="14340" width="15.28515625" style="16" customWidth="1"/>
    <col min="14341" max="14343" width="14.42578125" style="16" bestFit="1" customWidth="1"/>
    <col min="14344" max="14344" width="11.7109375" style="16" customWidth="1"/>
    <col min="14345" max="14345" width="21.85546875" style="16" bestFit="1" customWidth="1"/>
    <col min="14346" max="14346" width="18.85546875" style="16" customWidth="1"/>
    <col min="14347" max="14347" width="20.5703125" style="16" customWidth="1"/>
    <col min="14348" max="14348" width="11.42578125" style="16"/>
    <col min="14349" max="14349" width="24.28515625" style="16" customWidth="1"/>
    <col min="14350" max="14350" width="27.7109375" style="16" customWidth="1"/>
    <col min="14351" max="14592" width="11.42578125" style="16"/>
    <col min="14593" max="14593" width="39.5703125" style="16" customWidth="1"/>
    <col min="14594" max="14594" width="28.42578125" style="16" bestFit="1" customWidth="1"/>
    <col min="14595" max="14595" width="13.28515625" style="16" bestFit="1" customWidth="1"/>
    <col min="14596" max="14596" width="15.28515625" style="16" customWidth="1"/>
    <col min="14597" max="14599" width="14.42578125" style="16" bestFit="1" customWidth="1"/>
    <col min="14600" max="14600" width="11.7109375" style="16" customWidth="1"/>
    <col min="14601" max="14601" width="21.85546875" style="16" bestFit="1" customWidth="1"/>
    <col min="14602" max="14602" width="18.85546875" style="16" customWidth="1"/>
    <col min="14603" max="14603" width="20.5703125" style="16" customWidth="1"/>
    <col min="14604" max="14604" width="11.42578125" style="16"/>
    <col min="14605" max="14605" width="24.28515625" style="16" customWidth="1"/>
    <col min="14606" max="14606" width="27.7109375" style="16" customWidth="1"/>
    <col min="14607" max="14848" width="11.42578125" style="16"/>
    <col min="14849" max="14849" width="39.5703125" style="16" customWidth="1"/>
    <col min="14850" max="14850" width="28.42578125" style="16" bestFit="1" customWidth="1"/>
    <col min="14851" max="14851" width="13.28515625" style="16" bestFit="1" customWidth="1"/>
    <col min="14852" max="14852" width="15.28515625" style="16" customWidth="1"/>
    <col min="14853" max="14855" width="14.42578125" style="16" bestFit="1" customWidth="1"/>
    <col min="14856" max="14856" width="11.7109375" style="16" customWidth="1"/>
    <col min="14857" max="14857" width="21.85546875" style="16" bestFit="1" customWidth="1"/>
    <col min="14858" max="14858" width="18.85546875" style="16" customWidth="1"/>
    <col min="14859" max="14859" width="20.5703125" style="16" customWidth="1"/>
    <col min="14860" max="14860" width="11.42578125" style="16"/>
    <col min="14861" max="14861" width="24.28515625" style="16" customWidth="1"/>
    <col min="14862" max="14862" width="27.7109375" style="16" customWidth="1"/>
    <col min="14863" max="15104" width="11.42578125" style="16"/>
    <col min="15105" max="15105" width="39.5703125" style="16" customWidth="1"/>
    <col min="15106" max="15106" width="28.42578125" style="16" bestFit="1" customWidth="1"/>
    <col min="15107" max="15107" width="13.28515625" style="16" bestFit="1" customWidth="1"/>
    <col min="15108" max="15108" width="15.28515625" style="16" customWidth="1"/>
    <col min="15109" max="15111" width="14.42578125" style="16" bestFit="1" customWidth="1"/>
    <col min="15112" max="15112" width="11.7109375" style="16" customWidth="1"/>
    <col min="15113" max="15113" width="21.85546875" style="16" bestFit="1" customWidth="1"/>
    <col min="15114" max="15114" width="18.85546875" style="16" customWidth="1"/>
    <col min="15115" max="15115" width="20.5703125" style="16" customWidth="1"/>
    <col min="15116" max="15116" width="11.42578125" style="16"/>
    <col min="15117" max="15117" width="24.28515625" style="16" customWidth="1"/>
    <col min="15118" max="15118" width="27.7109375" style="16" customWidth="1"/>
    <col min="15119" max="15360" width="11.42578125" style="16"/>
    <col min="15361" max="15361" width="39.5703125" style="16" customWidth="1"/>
    <col min="15362" max="15362" width="28.42578125" style="16" bestFit="1" customWidth="1"/>
    <col min="15363" max="15363" width="13.28515625" style="16" bestFit="1" customWidth="1"/>
    <col min="15364" max="15364" width="15.28515625" style="16" customWidth="1"/>
    <col min="15365" max="15367" width="14.42578125" style="16" bestFit="1" customWidth="1"/>
    <col min="15368" max="15368" width="11.7109375" style="16" customWidth="1"/>
    <col min="15369" max="15369" width="21.85546875" style="16" bestFit="1" customWidth="1"/>
    <col min="15370" max="15370" width="18.85546875" style="16" customWidth="1"/>
    <col min="15371" max="15371" width="20.5703125" style="16" customWidth="1"/>
    <col min="15372" max="15372" width="11.42578125" style="16"/>
    <col min="15373" max="15373" width="24.28515625" style="16" customWidth="1"/>
    <col min="15374" max="15374" width="27.7109375" style="16" customWidth="1"/>
    <col min="15375" max="15616" width="11.42578125" style="16"/>
    <col min="15617" max="15617" width="39.5703125" style="16" customWidth="1"/>
    <col min="15618" max="15618" width="28.42578125" style="16" bestFit="1" customWidth="1"/>
    <col min="15619" max="15619" width="13.28515625" style="16" bestFit="1" customWidth="1"/>
    <col min="15620" max="15620" width="15.28515625" style="16" customWidth="1"/>
    <col min="15621" max="15623" width="14.42578125" style="16" bestFit="1" customWidth="1"/>
    <col min="15624" max="15624" width="11.7109375" style="16" customWidth="1"/>
    <col min="15625" max="15625" width="21.85546875" style="16" bestFit="1" customWidth="1"/>
    <col min="15626" max="15626" width="18.85546875" style="16" customWidth="1"/>
    <col min="15627" max="15627" width="20.5703125" style="16" customWidth="1"/>
    <col min="15628" max="15628" width="11.42578125" style="16"/>
    <col min="15629" max="15629" width="24.28515625" style="16" customWidth="1"/>
    <col min="15630" max="15630" width="27.7109375" style="16" customWidth="1"/>
    <col min="15631" max="15872" width="11.42578125" style="16"/>
    <col min="15873" max="15873" width="39.5703125" style="16" customWidth="1"/>
    <col min="15874" max="15874" width="28.42578125" style="16" bestFit="1" customWidth="1"/>
    <col min="15875" max="15875" width="13.28515625" style="16" bestFit="1" customWidth="1"/>
    <col min="15876" max="15876" width="15.28515625" style="16" customWidth="1"/>
    <col min="15877" max="15879" width="14.42578125" style="16" bestFit="1" customWidth="1"/>
    <col min="15880" max="15880" width="11.7109375" style="16" customWidth="1"/>
    <col min="15881" max="15881" width="21.85546875" style="16" bestFit="1" customWidth="1"/>
    <col min="15882" max="15882" width="18.85546875" style="16" customWidth="1"/>
    <col min="15883" max="15883" width="20.5703125" style="16" customWidth="1"/>
    <col min="15884" max="15884" width="11.42578125" style="16"/>
    <col min="15885" max="15885" width="24.28515625" style="16" customWidth="1"/>
    <col min="15886" max="15886" width="27.7109375" style="16" customWidth="1"/>
    <col min="15887" max="16128" width="11.42578125" style="16"/>
    <col min="16129" max="16129" width="39.5703125" style="16" customWidth="1"/>
    <col min="16130" max="16130" width="28.42578125" style="16" bestFit="1" customWidth="1"/>
    <col min="16131" max="16131" width="13.28515625" style="16" bestFit="1" customWidth="1"/>
    <col min="16132" max="16132" width="15.28515625" style="16" customWidth="1"/>
    <col min="16133" max="16135" width="14.42578125" style="16" bestFit="1" customWidth="1"/>
    <col min="16136" max="16136" width="11.7109375" style="16" customWidth="1"/>
    <col min="16137" max="16137" width="21.85546875" style="16" bestFit="1" customWidth="1"/>
    <col min="16138" max="16138" width="18.85546875" style="16" customWidth="1"/>
    <col min="16139" max="16139" width="20.5703125" style="16" customWidth="1"/>
    <col min="16140" max="16140" width="11.42578125" style="16"/>
    <col min="16141" max="16141" width="24.28515625" style="16" customWidth="1"/>
    <col min="16142" max="16142" width="27.7109375" style="16" customWidth="1"/>
    <col min="16143" max="16384" width="11.42578125" style="16"/>
  </cols>
  <sheetData>
    <row r="1" spans="1:11" ht="28.5" thickBot="1" x14ac:dyDescent="0.25">
      <c r="A1" s="552" t="s">
        <v>32</v>
      </c>
      <c r="B1" s="552"/>
      <c r="C1" s="552"/>
      <c r="D1" s="552"/>
      <c r="E1" s="552"/>
      <c r="F1" s="552"/>
      <c r="G1" s="552"/>
      <c r="H1" s="552"/>
      <c r="I1" s="552"/>
    </row>
    <row r="2" spans="1:11" x14ac:dyDescent="0.2">
      <c r="A2" s="17" t="s">
        <v>33</v>
      </c>
      <c r="B2" s="16" t="s">
        <v>34</v>
      </c>
      <c r="F2" s="18"/>
      <c r="G2" s="19">
        <v>2019</v>
      </c>
    </row>
    <row r="3" spans="1:11" ht="13.5" thickBot="1" x14ac:dyDescent="0.25">
      <c r="A3" s="20">
        <v>30</v>
      </c>
      <c r="B3" s="21">
        <v>0.01</v>
      </c>
      <c r="F3" s="22" t="s">
        <v>35</v>
      </c>
      <c r="G3" s="23">
        <f>[3]F4!C105</f>
        <v>35.342903647058932</v>
      </c>
    </row>
    <row r="4" spans="1:11" x14ac:dyDescent="0.2">
      <c r="A4" s="17" t="s">
        <v>36</v>
      </c>
      <c r="B4" s="18"/>
      <c r="C4" s="19">
        <v>2021</v>
      </c>
      <c r="D4" s="18"/>
      <c r="E4" s="19">
        <v>2021</v>
      </c>
      <c r="F4" s="18"/>
      <c r="G4" s="19">
        <v>2019</v>
      </c>
      <c r="H4" s="18"/>
      <c r="I4" s="19">
        <v>2019</v>
      </c>
      <c r="J4" s="24" t="s">
        <v>37</v>
      </c>
      <c r="K4" s="25" t="s">
        <v>38</v>
      </c>
    </row>
    <row r="5" spans="1:11" ht="15.75" thickBot="1" x14ac:dyDescent="0.3">
      <c r="A5" s="26">
        <v>0.5</v>
      </c>
      <c r="B5" s="22" t="s">
        <v>39</v>
      </c>
      <c r="C5" s="27">
        <f>[3]F4!F259</f>
        <v>77.643965191210327</v>
      </c>
      <c r="D5" s="22" t="s">
        <v>40</v>
      </c>
      <c r="E5" s="27">
        <f>[3]F4!F265</f>
        <v>86.153672648048612</v>
      </c>
      <c r="F5" s="22" t="s">
        <v>41</v>
      </c>
      <c r="G5" s="23">
        <f>[3]F4!D290</f>
        <v>28.926539000724834</v>
      </c>
      <c r="H5" s="22" t="s">
        <v>42</v>
      </c>
      <c r="I5" s="28">
        <f>[3]F4!D291</f>
        <v>26.596085766137136</v>
      </c>
      <c r="J5" s="29">
        <f>I5+G5</f>
        <v>55.522624766861966</v>
      </c>
      <c r="K5" s="30">
        <f>D12*J5</f>
        <v>0</v>
      </c>
    </row>
    <row r="6" spans="1:11" ht="15.75" x14ac:dyDescent="0.25">
      <c r="A6" s="31" t="s">
        <v>43</v>
      </c>
      <c r="B6" s="32" t="s">
        <v>44</v>
      </c>
      <c r="C6" s="32"/>
      <c r="D6" s="32"/>
      <c r="E6" s="32"/>
      <c r="F6" s="32"/>
      <c r="G6" s="32"/>
    </row>
    <row r="7" spans="1:11" x14ac:dyDescent="0.2">
      <c r="A7" s="32"/>
      <c r="B7" s="32"/>
      <c r="C7" s="32"/>
      <c r="D7" s="32"/>
      <c r="E7" s="32"/>
      <c r="F7" s="32"/>
      <c r="G7" s="32"/>
    </row>
    <row r="8" spans="1:11" ht="15" x14ac:dyDescent="0.25">
      <c r="A8" s="32"/>
      <c r="B8" s="33"/>
      <c r="C8" s="5">
        <v>43646</v>
      </c>
      <c r="D8" s="5">
        <v>44012</v>
      </c>
      <c r="E8" s="5">
        <v>44377</v>
      </c>
      <c r="F8" s="5">
        <v>44742</v>
      </c>
      <c r="G8" s="1">
        <v>45107</v>
      </c>
    </row>
    <row r="9" spans="1:11" x14ac:dyDescent="0.2">
      <c r="A9" s="35" t="s">
        <v>256</v>
      </c>
      <c r="B9" s="36" t="s">
        <v>428</v>
      </c>
      <c r="C9" s="36">
        <v>23</v>
      </c>
      <c r="D9" s="432">
        <f>C9*1.01</f>
        <v>23.23</v>
      </c>
      <c r="E9" s="432">
        <f t="shared" ref="E9:G9" si="0">D9*1.01</f>
        <v>23.462299999999999</v>
      </c>
      <c r="F9" s="432">
        <f t="shared" si="0"/>
        <v>23.696922999999998</v>
      </c>
      <c r="G9" s="432">
        <f t="shared" si="0"/>
        <v>23.933892229999998</v>
      </c>
      <c r="I9" s="16" t="s">
        <v>45</v>
      </c>
    </row>
    <row r="10" spans="1:11" x14ac:dyDescent="0.2">
      <c r="A10" s="37" t="s">
        <v>46</v>
      </c>
      <c r="B10" s="38"/>
      <c r="C10" s="38">
        <v>1400</v>
      </c>
      <c r="D10" s="38">
        <f>6000-(3200-C10)</f>
        <v>4200</v>
      </c>
      <c r="E10" s="38">
        <v>5600</v>
      </c>
      <c r="F10" s="38">
        <v>5600</v>
      </c>
      <c r="G10" s="38">
        <v>5600</v>
      </c>
      <c r="I10" s="16" t="s">
        <v>47</v>
      </c>
    </row>
    <row r="11" spans="1:11" x14ac:dyDescent="0.2">
      <c r="A11" s="37" t="s">
        <v>48</v>
      </c>
      <c r="B11" s="38"/>
      <c r="C11" s="38"/>
      <c r="D11" s="38"/>
      <c r="E11" s="38">
        <v>0</v>
      </c>
      <c r="F11" s="38">
        <v>0</v>
      </c>
      <c r="G11" s="38">
        <v>0</v>
      </c>
    </row>
    <row r="12" spans="1:11" x14ac:dyDescent="0.2">
      <c r="A12" s="37" t="s">
        <v>49</v>
      </c>
      <c r="B12" s="38"/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11" x14ac:dyDescent="0.2">
      <c r="A13" s="37" t="s">
        <v>19</v>
      </c>
      <c r="B13" s="39"/>
      <c r="C13" s="39"/>
      <c r="D13" s="38"/>
      <c r="E13" s="38"/>
      <c r="F13" s="38">
        <v>300</v>
      </c>
      <c r="G13" s="38">
        <v>300</v>
      </c>
    </row>
    <row r="14" spans="1:11" x14ac:dyDescent="0.2">
      <c r="A14" s="37" t="s">
        <v>20</v>
      </c>
      <c r="B14" s="39"/>
      <c r="C14" s="39"/>
      <c r="D14" s="38"/>
      <c r="E14" s="38"/>
      <c r="F14" s="38">
        <v>800</v>
      </c>
      <c r="G14" s="38">
        <v>800</v>
      </c>
    </row>
    <row r="15" spans="1:11" x14ac:dyDescent="0.2">
      <c r="A15" s="37" t="s">
        <v>50</v>
      </c>
      <c r="B15" s="38"/>
      <c r="C15" s="38"/>
      <c r="D15" s="38"/>
      <c r="E15" s="38"/>
      <c r="F15" s="38">
        <v>3365</v>
      </c>
      <c r="G15" s="38">
        <v>3365</v>
      </c>
    </row>
    <row r="16" spans="1:11" x14ac:dyDescent="0.2">
      <c r="A16" s="37" t="s">
        <v>51</v>
      </c>
      <c r="B16" s="38"/>
      <c r="C16" s="38"/>
      <c r="D16" s="38"/>
      <c r="E16" s="38">
        <v>0</v>
      </c>
      <c r="F16" s="38">
        <v>0</v>
      </c>
      <c r="G16" s="38">
        <v>0</v>
      </c>
    </row>
    <row r="17" spans="1:9" x14ac:dyDescent="0.2">
      <c r="A17" s="40" t="s">
        <v>52</v>
      </c>
      <c r="B17" s="40"/>
      <c r="C17" s="41">
        <f>SUM(C10:C15)</f>
        <v>1400</v>
      </c>
      <c r="D17" s="41">
        <f>SUM(D10:D15)</f>
        <v>4200</v>
      </c>
      <c r="E17" s="41">
        <f>SUM(E10:E16)</f>
        <v>5600</v>
      </c>
      <c r="F17" s="41">
        <f>SUM(F10:F16)</f>
        <v>10065</v>
      </c>
      <c r="G17" s="41">
        <f>SUM(G10:G16)</f>
        <v>10065</v>
      </c>
      <c r="H17" s="42"/>
      <c r="I17" s="43"/>
    </row>
    <row r="18" spans="1:9" x14ac:dyDescent="0.2">
      <c r="A18" s="32"/>
      <c r="B18" s="32"/>
      <c r="C18" s="32"/>
      <c r="D18" s="32"/>
      <c r="E18" s="32"/>
      <c r="F18" s="32"/>
      <c r="G18" s="32"/>
    </row>
    <row r="19" spans="1:9" x14ac:dyDescent="0.2">
      <c r="A19" s="35" t="s">
        <v>426</v>
      </c>
      <c r="B19" s="36" t="s">
        <v>427</v>
      </c>
      <c r="C19" s="36">
        <v>30</v>
      </c>
      <c r="D19" s="432">
        <f>C19*1.01</f>
        <v>30.3</v>
      </c>
      <c r="E19" s="432">
        <f t="shared" ref="E19:G19" si="1">D19*1.01</f>
        <v>30.603000000000002</v>
      </c>
      <c r="F19" s="432">
        <f t="shared" si="1"/>
        <v>30.909030000000001</v>
      </c>
      <c r="G19" s="432">
        <f t="shared" si="1"/>
        <v>31.218120300000002</v>
      </c>
      <c r="I19" s="273" t="s">
        <v>429</v>
      </c>
    </row>
    <row r="20" spans="1:9" x14ac:dyDescent="0.2">
      <c r="A20" s="37" t="s">
        <v>46</v>
      </c>
      <c r="B20" s="38"/>
      <c r="C20" s="38">
        <v>200</v>
      </c>
      <c r="D20" s="38">
        <v>200</v>
      </c>
      <c r="E20" s="38">
        <v>400</v>
      </c>
      <c r="F20" s="38">
        <v>400</v>
      </c>
      <c r="G20" s="38">
        <v>400</v>
      </c>
    </row>
    <row r="21" spans="1:9" x14ac:dyDescent="0.2">
      <c r="A21" s="37" t="s">
        <v>48</v>
      </c>
      <c r="B21" s="38"/>
      <c r="C21" s="38"/>
      <c r="D21" s="38"/>
      <c r="E21" s="38">
        <v>0</v>
      </c>
      <c r="F21" s="38">
        <v>0</v>
      </c>
      <c r="G21" s="38">
        <v>0</v>
      </c>
    </row>
    <row r="22" spans="1:9" x14ac:dyDescent="0.2">
      <c r="A22" s="37" t="s">
        <v>49</v>
      </c>
      <c r="B22" s="38"/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9" x14ac:dyDescent="0.2">
      <c r="A23" s="37" t="s">
        <v>19</v>
      </c>
      <c r="B23" s="39"/>
      <c r="C23" s="39">
        <v>120</v>
      </c>
      <c r="D23" s="38">
        <v>240</v>
      </c>
      <c r="E23" s="38">
        <v>240</v>
      </c>
      <c r="F23" s="38"/>
      <c r="G23" s="38"/>
    </row>
    <row r="24" spans="1:9" x14ac:dyDescent="0.2">
      <c r="A24" s="37" t="s">
        <v>20</v>
      </c>
      <c r="B24" s="39"/>
      <c r="C24" s="39">
        <v>120</v>
      </c>
      <c r="D24" s="38">
        <v>800</v>
      </c>
      <c r="E24" s="38">
        <v>800</v>
      </c>
      <c r="F24" s="38"/>
      <c r="G24" s="38"/>
    </row>
    <row r="25" spans="1:9" x14ac:dyDescent="0.2">
      <c r="A25" s="37" t="s">
        <v>50</v>
      </c>
      <c r="B25" s="38"/>
      <c r="C25" s="38"/>
      <c r="D25" s="38"/>
      <c r="E25" s="38"/>
      <c r="F25" s="38"/>
      <c r="G25" s="38"/>
    </row>
    <row r="26" spans="1:9" x14ac:dyDescent="0.2">
      <c r="A26" s="37" t="s">
        <v>51</v>
      </c>
      <c r="B26" s="38"/>
      <c r="C26" s="38"/>
      <c r="D26" s="38"/>
      <c r="E26" s="38">
        <v>0</v>
      </c>
      <c r="F26" s="38">
        <v>0</v>
      </c>
      <c r="G26" s="38">
        <v>0</v>
      </c>
    </row>
    <row r="27" spans="1:9" x14ac:dyDescent="0.2">
      <c r="A27" s="40" t="s">
        <v>430</v>
      </c>
      <c r="B27" s="40"/>
      <c r="C27" s="41">
        <f>SUM(C20:C25)</f>
        <v>440</v>
      </c>
      <c r="D27" s="41">
        <f>SUM(D20:D25)</f>
        <v>1240</v>
      </c>
      <c r="E27" s="41">
        <f>SUM(E20:E26)</f>
        <v>1440</v>
      </c>
      <c r="F27" s="41">
        <f>SUM(F20:F26)</f>
        <v>400</v>
      </c>
      <c r="G27" s="41">
        <f>SUM(G20:G26)</f>
        <v>400</v>
      </c>
      <c r="H27" s="42"/>
      <c r="I27" s="43"/>
    </row>
    <row r="28" spans="1:9" x14ac:dyDescent="0.2">
      <c r="A28" s="32"/>
      <c r="B28" s="32"/>
      <c r="C28" s="32"/>
      <c r="D28" s="32"/>
      <c r="E28" s="32"/>
      <c r="F28" s="32"/>
      <c r="G28" s="32"/>
    </row>
    <row r="29" spans="1:9" x14ac:dyDescent="0.2">
      <c r="A29" s="40" t="s">
        <v>431</v>
      </c>
      <c r="B29" s="40"/>
      <c r="C29" s="41">
        <f>C27+C17</f>
        <v>1840</v>
      </c>
      <c r="D29" s="41">
        <f t="shared" ref="D29:G29" si="2">D27+D17</f>
        <v>5440</v>
      </c>
      <c r="E29" s="41">
        <f t="shared" si="2"/>
        <v>7040</v>
      </c>
      <c r="F29" s="41">
        <f t="shared" si="2"/>
        <v>10465</v>
      </c>
      <c r="G29" s="41">
        <f t="shared" si="2"/>
        <v>10465</v>
      </c>
      <c r="H29" s="42"/>
      <c r="I29" s="43"/>
    </row>
    <row r="30" spans="1:9" x14ac:dyDescent="0.2">
      <c r="A30" s="32"/>
      <c r="B30" s="32"/>
      <c r="C30" s="32"/>
      <c r="D30" s="32"/>
      <c r="E30" s="32"/>
      <c r="F30" s="32"/>
      <c r="G30" s="32"/>
    </row>
    <row r="31" spans="1:9" x14ac:dyDescent="0.2">
      <c r="A31" s="35" t="s">
        <v>53</v>
      </c>
      <c r="B31" s="36"/>
      <c r="C31" s="36"/>
      <c r="D31" s="36"/>
      <c r="E31" s="36"/>
      <c r="F31" s="36"/>
      <c r="G31" s="36"/>
    </row>
    <row r="32" spans="1:9" x14ac:dyDescent="0.2">
      <c r="A32" s="37" t="str">
        <f>A11</f>
        <v>ZAC du Manio</v>
      </c>
      <c r="B32" s="44"/>
      <c r="C32" s="44"/>
      <c r="D32" s="44"/>
      <c r="E32" s="44">
        <v>0</v>
      </c>
      <c r="F32" s="44">
        <v>0</v>
      </c>
      <c r="G32" s="44">
        <v>0</v>
      </c>
    </row>
    <row r="33" spans="1:10" x14ac:dyDescent="0.2">
      <c r="A33" s="37" t="str">
        <f>A12</f>
        <v>LORIENT AGGLO</v>
      </c>
      <c r="B33" s="45"/>
      <c r="C33" s="45"/>
      <c r="D33" s="45"/>
      <c r="E33" s="45"/>
      <c r="F33" s="45"/>
      <c r="G33" s="45"/>
    </row>
    <row r="34" spans="1:10" x14ac:dyDescent="0.2">
      <c r="A34" s="37" t="str">
        <f>A13</f>
        <v>LOCMIQUELIC</v>
      </c>
      <c r="B34" s="45"/>
      <c r="C34" s="45"/>
      <c r="D34" s="45"/>
      <c r="E34" s="45"/>
      <c r="F34" s="45"/>
      <c r="G34" s="45"/>
    </row>
    <row r="35" spans="1:10" x14ac:dyDescent="0.2">
      <c r="A35" s="37" t="str">
        <f>A14</f>
        <v>LANESTER</v>
      </c>
      <c r="B35" s="45"/>
      <c r="C35" s="45"/>
      <c r="D35" s="45"/>
      <c r="E35" s="45"/>
      <c r="F35" s="45"/>
      <c r="G35" s="45"/>
    </row>
    <row r="36" spans="1:10" x14ac:dyDescent="0.2">
      <c r="A36" s="37" t="str">
        <f>A15</f>
        <v>UNIVERSITE</v>
      </c>
      <c r="B36" s="44"/>
      <c r="C36" s="44"/>
      <c r="D36" s="44"/>
      <c r="E36" s="44">
        <v>0</v>
      </c>
      <c r="F36" s="44">
        <v>565</v>
      </c>
      <c r="G36" s="44">
        <v>565</v>
      </c>
    </row>
    <row r="37" spans="1:10" x14ac:dyDescent="0.2">
      <c r="A37" s="37" t="s">
        <v>51</v>
      </c>
      <c r="B37" s="44"/>
      <c r="C37" s="44"/>
      <c r="D37" s="44"/>
      <c r="E37" s="46">
        <v>0</v>
      </c>
      <c r="F37" s="44">
        <v>0</v>
      </c>
      <c r="G37" s="44">
        <v>0</v>
      </c>
    </row>
    <row r="38" spans="1:10" x14ac:dyDescent="0.2">
      <c r="A38" s="40" t="s">
        <v>54</v>
      </c>
      <c r="B38" s="47"/>
      <c r="C38" s="47">
        <f t="shared" ref="C38:G38" si="3">SUM(C32:C36)</f>
        <v>0</v>
      </c>
      <c r="D38" s="47">
        <f t="shared" si="3"/>
        <v>0</v>
      </c>
      <c r="E38" s="47">
        <f t="shared" si="3"/>
        <v>0</v>
      </c>
      <c r="F38" s="47">
        <f t="shared" si="3"/>
        <v>565</v>
      </c>
      <c r="G38" s="47">
        <f t="shared" si="3"/>
        <v>565</v>
      </c>
    </row>
    <row r="39" spans="1:10" x14ac:dyDescent="0.2">
      <c r="A39" s="32"/>
      <c r="B39" s="32"/>
      <c r="C39" s="32"/>
      <c r="D39" s="32"/>
      <c r="E39" s="32"/>
      <c r="F39" s="32"/>
      <c r="G39" s="32"/>
    </row>
    <row r="40" spans="1:10" x14ac:dyDescent="0.2">
      <c r="D40" s="42" t="s">
        <v>55</v>
      </c>
      <c r="E40" s="48">
        <f>E17/(E17+E38)</f>
        <v>1</v>
      </c>
      <c r="F40" s="48">
        <f>F17/(F17+F38)</f>
        <v>0.94684854186265288</v>
      </c>
      <c r="G40" s="48">
        <f>G17/(G17+G38)</f>
        <v>0.94684854186265288</v>
      </c>
    </row>
    <row r="41" spans="1:10" ht="15.75" x14ac:dyDescent="0.25">
      <c r="A41" s="31" t="s">
        <v>56</v>
      </c>
    </row>
    <row r="43" spans="1:10" x14ac:dyDescent="0.2">
      <c r="B43" s="34"/>
      <c r="C43" s="275">
        <f>C8</f>
        <v>43646</v>
      </c>
      <c r="D43" s="275">
        <f>D8</f>
        <v>44012</v>
      </c>
      <c r="E43" s="275">
        <f>E8</f>
        <v>44377</v>
      </c>
      <c r="F43" s="275">
        <f>F8</f>
        <v>44742</v>
      </c>
      <c r="G43" s="275">
        <f>G8</f>
        <v>45107</v>
      </c>
    </row>
    <row r="45" spans="1:10" x14ac:dyDescent="0.2">
      <c r="A45" s="35" t="s">
        <v>57</v>
      </c>
      <c r="B45" s="36"/>
      <c r="C45" s="36"/>
      <c r="D45" s="36"/>
      <c r="E45" s="36"/>
      <c r="F45" s="36"/>
      <c r="G45" s="36"/>
    </row>
    <row r="46" spans="1:10" x14ac:dyDescent="0.2">
      <c r="A46" s="49" t="s">
        <v>58</v>
      </c>
      <c r="B46" s="49"/>
      <c r="C46" s="49">
        <f>SUM(C47:C51)</f>
        <v>48</v>
      </c>
      <c r="D46" s="49">
        <f>SUM(D47:D51)</f>
        <v>192</v>
      </c>
      <c r="E46" s="49">
        <f>SUM(E47:E52)</f>
        <v>192</v>
      </c>
      <c r="F46" s="49">
        <f>SUM(F47:F52)</f>
        <v>264</v>
      </c>
      <c r="G46" s="49">
        <f>SUM(G47:G52)</f>
        <v>312</v>
      </c>
      <c r="H46" s="50" t="s">
        <v>59</v>
      </c>
      <c r="I46" s="50">
        <v>1</v>
      </c>
      <c r="J46" s="16">
        <f>I46*[3]F4!B295</f>
        <v>1</v>
      </c>
    </row>
    <row r="47" spans="1:10" x14ac:dyDescent="0.2">
      <c r="A47" s="51" t="str">
        <f>+A11</f>
        <v>ZAC du Manio</v>
      </c>
      <c r="B47" s="37"/>
      <c r="C47" s="37"/>
      <c r="D47" s="37"/>
      <c r="E47" s="37">
        <v>0</v>
      </c>
      <c r="F47" s="37">
        <v>0</v>
      </c>
      <c r="G47" s="37">
        <f>48*J46</f>
        <v>48</v>
      </c>
    </row>
    <row r="48" spans="1:10" x14ac:dyDescent="0.2">
      <c r="A48" s="51" t="str">
        <f>+A12</f>
        <v>LORIENT AGGLO</v>
      </c>
      <c r="B48" s="52"/>
      <c r="C48" s="52">
        <v>0</v>
      </c>
      <c r="D48" s="52">
        <v>0</v>
      </c>
      <c r="E48" s="52">
        <v>0</v>
      </c>
      <c r="F48" s="52">
        <v>0</v>
      </c>
      <c r="G48" s="52">
        <v>0</v>
      </c>
    </row>
    <row r="49" spans="1:10" x14ac:dyDescent="0.2">
      <c r="A49" s="51" t="str">
        <f>+A13</f>
        <v>LOCMIQUELIC</v>
      </c>
      <c r="B49" s="52"/>
      <c r="C49" s="52">
        <v>24</v>
      </c>
      <c r="D49" s="52">
        <f>96*J46</f>
        <v>96</v>
      </c>
      <c r="E49" s="52">
        <f>96*J46</f>
        <v>96</v>
      </c>
      <c r="F49" s="52">
        <f>96*J46</f>
        <v>96</v>
      </c>
      <c r="G49" s="52">
        <f>96*J46</f>
        <v>96</v>
      </c>
    </row>
    <row r="50" spans="1:10" x14ac:dyDescent="0.2">
      <c r="A50" s="51" t="str">
        <f>+A14</f>
        <v>LANESTER</v>
      </c>
      <c r="B50" s="52"/>
      <c r="C50" s="52">
        <v>24</v>
      </c>
      <c r="D50" s="52">
        <f>96*J46</f>
        <v>96</v>
      </c>
      <c r="E50" s="52">
        <f>96*J46</f>
        <v>96</v>
      </c>
      <c r="F50" s="52">
        <f>96*J46</f>
        <v>96</v>
      </c>
      <c r="G50" s="52">
        <f>96*J46</f>
        <v>96</v>
      </c>
    </row>
    <row r="51" spans="1:10" x14ac:dyDescent="0.2">
      <c r="A51" s="51" t="str">
        <f>+A15</f>
        <v>UNIVERSITE</v>
      </c>
      <c r="B51" s="52"/>
      <c r="C51" s="52"/>
      <c r="D51" s="52"/>
      <c r="E51" s="52">
        <v>0</v>
      </c>
      <c r="F51" s="52">
        <f>72*J46</f>
        <v>72</v>
      </c>
      <c r="G51" s="52">
        <f>72*J46</f>
        <v>72</v>
      </c>
    </row>
    <row r="52" spans="1:10" x14ac:dyDescent="0.2">
      <c r="A52" s="51" t="s">
        <v>51</v>
      </c>
      <c r="B52" s="52"/>
      <c r="C52" s="52"/>
      <c r="D52" s="52"/>
      <c r="E52" s="53">
        <f>E48</f>
        <v>0</v>
      </c>
      <c r="F52" s="52">
        <f>F48</f>
        <v>0</v>
      </c>
      <c r="G52" s="52">
        <f>G48</f>
        <v>0</v>
      </c>
    </row>
    <row r="53" spans="1:10" x14ac:dyDescent="0.2">
      <c r="A53" s="54" t="s">
        <v>60</v>
      </c>
      <c r="B53" s="52"/>
      <c r="C53" s="52"/>
      <c r="D53" s="52"/>
      <c r="E53" s="52"/>
      <c r="F53" s="52"/>
      <c r="G53" s="52"/>
      <c r="H53" s="16">
        <f>SUM(H54:H56)</f>
        <v>1</v>
      </c>
    </row>
    <row r="54" spans="1:10" x14ac:dyDescent="0.2">
      <c r="A54" s="51" t="s">
        <v>61</v>
      </c>
      <c r="B54" s="52"/>
      <c r="C54" s="52">
        <f>C$46*$H54</f>
        <v>4.8000000000000007</v>
      </c>
      <c r="D54" s="52">
        <f t="shared" ref="D54:G56" si="4">D$46*$H54</f>
        <v>19.200000000000003</v>
      </c>
      <c r="E54" s="52">
        <f t="shared" si="4"/>
        <v>19.200000000000003</v>
      </c>
      <c r="F54" s="52">
        <f t="shared" si="4"/>
        <v>26.400000000000002</v>
      </c>
      <c r="G54" s="52">
        <f t="shared" si="4"/>
        <v>31.200000000000003</v>
      </c>
      <c r="H54" s="50">
        <v>0.1</v>
      </c>
    </row>
    <row r="55" spans="1:10" x14ac:dyDescent="0.2">
      <c r="A55" s="51" t="s">
        <v>423</v>
      </c>
      <c r="B55" s="52"/>
      <c r="C55" s="52">
        <f>C$46*$H55</f>
        <v>21.6</v>
      </c>
      <c r="D55" s="52">
        <f t="shared" si="4"/>
        <v>86.4</v>
      </c>
      <c r="E55" s="52">
        <f t="shared" si="4"/>
        <v>86.4</v>
      </c>
      <c r="F55" s="52">
        <f t="shared" si="4"/>
        <v>118.8</v>
      </c>
      <c r="G55" s="52">
        <f t="shared" si="4"/>
        <v>140.4</v>
      </c>
      <c r="H55" s="50">
        <v>0.45</v>
      </c>
    </row>
    <row r="56" spans="1:10" x14ac:dyDescent="0.2">
      <c r="A56" s="51" t="s">
        <v>63</v>
      </c>
      <c r="B56" s="52"/>
      <c r="C56" s="52">
        <f>C$46*$H56</f>
        <v>21.6</v>
      </c>
      <c r="D56" s="52">
        <f t="shared" si="4"/>
        <v>86.4</v>
      </c>
      <c r="E56" s="52">
        <f t="shared" si="4"/>
        <v>86.4</v>
      </c>
      <c r="F56" s="52">
        <f t="shared" si="4"/>
        <v>118.8</v>
      </c>
      <c r="G56" s="52">
        <f t="shared" si="4"/>
        <v>140.4</v>
      </c>
      <c r="H56" s="50">
        <v>0.45</v>
      </c>
    </row>
    <row r="57" spans="1:10" x14ac:dyDescent="0.2">
      <c r="A57" s="51"/>
      <c r="B57" s="52"/>
      <c r="C57" s="52"/>
      <c r="D57" s="52"/>
      <c r="E57" s="52"/>
      <c r="F57" s="52"/>
      <c r="G57" s="52"/>
    </row>
    <row r="58" spans="1:10" x14ac:dyDescent="0.2">
      <c r="A58" s="37"/>
      <c r="B58" s="37"/>
      <c r="C58" s="37"/>
      <c r="D58" s="37"/>
      <c r="E58" s="37"/>
      <c r="F58" s="37"/>
      <c r="G58" s="37"/>
    </row>
    <row r="59" spans="1:10" x14ac:dyDescent="0.2">
      <c r="A59" s="49" t="s">
        <v>64</v>
      </c>
      <c r="B59" s="49"/>
      <c r="C59" s="49">
        <f>SUM(C60:C64)</f>
        <v>108</v>
      </c>
      <c r="D59" s="49">
        <f>SUM(D60:D64)</f>
        <v>432</v>
      </c>
      <c r="E59" s="49">
        <f>SUM(E60:E65)</f>
        <v>432</v>
      </c>
      <c r="F59" s="49">
        <f>SUM(F60:F65)</f>
        <v>672</v>
      </c>
      <c r="G59" s="49">
        <f>SUM(G60:G65)</f>
        <v>816</v>
      </c>
      <c r="H59" s="50" t="s">
        <v>65</v>
      </c>
      <c r="I59" s="50">
        <v>1</v>
      </c>
      <c r="J59" s="16">
        <f>I59*[3]F4!B295</f>
        <v>1</v>
      </c>
    </row>
    <row r="60" spans="1:10" x14ac:dyDescent="0.2">
      <c r="A60" s="51" t="str">
        <f>A47</f>
        <v>ZAC du Manio</v>
      </c>
      <c r="B60" s="37"/>
      <c r="C60" s="37"/>
      <c r="D60" s="37"/>
      <c r="E60" s="37">
        <v>0</v>
      </c>
      <c r="F60" s="37">
        <v>0</v>
      </c>
      <c r="G60" s="37">
        <f>144*J59</f>
        <v>144</v>
      </c>
    </row>
    <row r="61" spans="1:10" x14ac:dyDescent="0.2">
      <c r="A61" s="51" t="str">
        <f>A48</f>
        <v>LORIENT AGGLO</v>
      </c>
      <c r="B61" s="52"/>
      <c r="C61" s="52">
        <v>0</v>
      </c>
      <c r="D61" s="52">
        <v>0</v>
      </c>
      <c r="E61" s="52">
        <v>0</v>
      </c>
      <c r="F61" s="52">
        <v>0</v>
      </c>
      <c r="G61" s="52">
        <v>0</v>
      </c>
    </row>
    <row r="62" spans="1:10" x14ac:dyDescent="0.2">
      <c r="A62" s="51" t="str">
        <f>A49</f>
        <v>LOCMIQUELIC</v>
      </c>
      <c r="B62" s="52"/>
      <c r="C62" s="52">
        <f>60*J59</f>
        <v>60</v>
      </c>
      <c r="D62" s="52">
        <f>240*J59</f>
        <v>240</v>
      </c>
      <c r="E62" s="52">
        <f>240*J59</f>
        <v>240</v>
      </c>
      <c r="F62" s="52">
        <f>240*J59</f>
        <v>240</v>
      </c>
      <c r="G62" s="52">
        <f>240*J59</f>
        <v>240</v>
      </c>
    </row>
    <row r="63" spans="1:10" x14ac:dyDescent="0.2">
      <c r="A63" s="51" t="str">
        <f>A50</f>
        <v>LANESTER</v>
      </c>
      <c r="B63" s="52"/>
      <c r="C63" s="52">
        <f>48*J59</f>
        <v>48</v>
      </c>
      <c r="D63" s="52">
        <f>192*J59</f>
        <v>192</v>
      </c>
      <c r="E63" s="52">
        <f>192*J59</f>
        <v>192</v>
      </c>
      <c r="F63" s="52">
        <f>192*J59</f>
        <v>192</v>
      </c>
      <c r="G63" s="52">
        <f>192*J59</f>
        <v>192</v>
      </c>
    </row>
    <row r="64" spans="1:10" x14ac:dyDescent="0.2">
      <c r="A64" s="51" t="str">
        <f>A51</f>
        <v>UNIVERSITE</v>
      </c>
      <c r="B64" s="52"/>
      <c r="C64" s="52"/>
      <c r="D64" s="52"/>
      <c r="E64" s="52">
        <v>0</v>
      </c>
      <c r="F64" s="52">
        <f>240*J59</f>
        <v>240</v>
      </c>
      <c r="G64" s="52">
        <f>240*J59</f>
        <v>240</v>
      </c>
    </row>
    <row r="65" spans="1:10" x14ac:dyDescent="0.2">
      <c r="A65" s="51" t="s">
        <v>51</v>
      </c>
      <c r="B65" s="52"/>
      <c r="C65" s="52"/>
      <c r="D65" s="52"/>
      <c r="E65" s="53">
        <f>E61</f>
        <v>0</v>
      </c>
      <c r="F65" s="52">
        <f>F61</f>
        <v>0</v>
      </c>
      <c r="G65" s="52">
        <f>G61</f>
        <v>0</v>
      </c>
    </row>
    <row r="66" spans="1:10" x14ac:dyDescent="0.2">
      <c r="A66" s="54" t="s">
        <v>60</v>
      </c>
      <c r="B66" s="52"/>
      <c r="C66" s="52"/>
      <c r="D66" s="52"/>
      <c r="E66" s="52"/>
      <c r="F66" s="52"/>
      <c r="G66" s="52"/>
      <c r="H66" s="16">
        <f>SUM(H67:H69)</f>
        <v>1</v>
      </c>
    </row>
    <row r="67" spans="1:10" x14ac:dyDescent="0.2">
      <c r="A67" s="51" t="s">
        <v>61</v>
      </c>
      <c r="B67" s="52"/>
      <c r="C67" s="52">
        <f>C$59*$H67</f>
        <v>21.6</v>
      </c>
      <c r="D67" s="52">
        <f t="shared" ref="D67:G69" si="5">D$59*$H67</f>
        <v>86.4</v>
      </c>
      <c r="E67" s="52">
        <f t="shared" si="5"/>
        <v>86.4</v>
      </c>
      <c r="F67" s="52">
        <f t="shared" si="5"/>
        <v>134.4</v>
      </c>
      <c r="G67" s="52">
        <f t="shared" si="5"/>
        <v>163.20000000000002</v>
      </c>
      <c r="H67" s="50">
        <v>0.2</v>
      </c>
    </row>
    <row r="68" spans="1:10" x14ac:dyDescent="0.2">
      <c r="A68" s="51" t="s">
        <v>423</v>
      </c>
      <c r="B68" s="52"/>
      <c r="C68" s="52">
        <f>C$59*$H68</f>
        <v>64.8</v>
      </c>
      <c r="D68" s="52">
        <f t="shared" si="5"/>
        <v>259.2</v>
      </c>
      <c r="E68" s="52">
        <f t="shared" si="5"/>
        <v>259.2</v>
      </c>
      <c r="F68" s="52">
        <f t="shared" si="5"/>
        <v>403.2</v>
      </c>
      <c r="G68" s="52">
        <f t="shared" si="5"/>
        <v>489.59999999999997</v>
      </c>
      <c r="H68" s="50">
        <v>0.6</v>
      </c>
    </row>
    <row r="69" spans="1:10" x14ac:dyDescent="0.2">
      <c r="A69" s="51" t="s">
        <v>63</v>
      </c>
      <c r="B69" s="52"/>
      <c r="C69" s="52">
        <f>C$59*$H69</f>
        <v>21.6</v>
      </c>
      <c r="D69" s="52">
        <f t="shared" si="5"/>
        <v>86.4</v>
      </c>
      <c r="E69" s="52">
        <f t="shared" si="5"/>
        <v>86.4</v>
      </c>
      <c r="F69" s="52">
        <f t="shared" si="5"/>
        <v>134.4</v>
      </c>
      <c r="G69" s="52">
        <f t="shared" si="5"/>
        <v>163.20000000000002</v>
      </c>
      <c r="H69" s="50">
        <v>0.2</v>
      </c>
    </row>
    <row r="70" spans="1:10" x14ac:dyDescent="0.2">
      <c r="A70" s="51"/>
      <c r="B70" s="52"/>
      <c r="C70" s="52"/>
      <c r="D70" s="52"/>
      <c r="E70" s="52"/>
      <c r="F70" s="52"/>
      <c r="G70" s="52"/>
    </row>
    <row r="71" spans="1:10" x14ac:dyDescent="0.2">
      <c r="A71" s="49" t="s">
        <v>397</v>
      </c>
      <c r="B71" s="49"/>
      <c r="C71" s="49">
        <f>(C59+C46)*$J$74</f>
        <v>156</v>
      </c>
      <c r="D71" s="49">
        <f>(D59+D46)*$J$74</f>
        <v>624</v>
      </c>
      <c r="E71" s="49">
        <f>(E59+E46)*$J$74</f>
        <v>624</v>
      </c>
      <c r="F71" s="49">
        <f>(F59+F46)*$J$74</f>
        <v>936</v>
      </c>
      <c r="G71" s="49">
        <f>(G59+G46)*$J$74</f>
        <v>1128</v>
      </c>
      <c r="H71" s="42" t="s">
        <v>67</v>
      </c>
    </row>
    <row r="72" spans="1:10" x14ac:dyDescent="0.2">
      <c r="A72" s="51" t="str">
        <f>A60</f>
        <v>ZAC du Manio</v>
      </c>
      <c r="B72" s="55"/>
      <c r="C72" s="55">
        <f t="shared" ref="C72:G76" si="6">C$71*((C60+C47)/(C$46+C$59))</f>
        <v>0</v>
      </c>
      <c r="D72" s="55">
        <f t="shared" si="6"/>
        <v>0</v>
      </c>
      <c r="E72" s="55">
        <f t="shared" si="6"/>
        <v>0</v>
      </c>
      <c r="F72" s="55">
        <f t="shared" si="6"/>
        <v>0</v>
      </c>
      <c r="G72" s="55">
        <f t="shared" si="6"/>
        <v>192</v>
      </c>
      <c r="H72" s="42" t="s">
        <v>68</v>
      </c>
    </row>
    <row r="73" spans="1:10" x14ac:dyDescent="0.2">
      <c r="A73" s="51" t="str">
        <f>A61</f>
        <v>LORIENT AGGLO</v>
      </c>
      <c r="B73" s="55"/>
      <c r="C73" s="55">
        <f t="shared" si="6"/>
        <v>0</v>
      </c>
      <c r="D73" s="55">
        <f t="shared" si="6"/>
        <v>0</v>
      </c>
      <c r="E73" s="55">
        <f t="shared" si="6"/>
        <v>0</v>
      </c>
      <c r="F73" s="55">
        <f t="shared" si="6"/>
        <v>0</v>
      </c>
      <c r="G73" s="55">
        <f t="shared" si="6"/>
        <v>0</v>
      </c>
      <c r="H73" s="16" t="s">
        <v>69</v>
      </c>
    </row>
    <row r="74" spans="1:10" x14ac:dyDescent="0.2">
      <c r="A74" s="51" t="str">
        <f>A62</f>
        <v>LOCMIQUELIC</v>
      </c>
      <c r="B74" s="55"/>
      <c r="C74" s="55">
        <f t="shared" si="6"/>
        <v>84</v>
      </c>
      <c r="D74" s="55">
        <f t="shared" si="6"/>
        <v>336</v>
      </c>
      <c r="E74" s="55">
        <f t="shared" si="6"/>
        <v>336</v>
      </c>
      <c r="F74" s="55">
        <f t="shared" si="6"/>
        <v>336</v>
      </c>
      <c r="G74" s="55">
        <f t="shared" si="6"/>
        <v>336</v>
      </c>
      <c r="H74" s="50" t="s">
        <v>70</v>
      </c>
      <c r="I74" s="50">
        <v>1</v>
      </c>
      <c r="J74" s="16">
        <f>I74*[3]F4!B295</f>
        <v>1</v>
      </c>
    </row>
    <row r="75" spans="1:10" x14ac:dyDescent="0.2">
      <c r="A75" s="51" t="str">
        <f>A63</f>
        <v>LANESTER</v>
      </c>
      <c r="B75" s="55"/>
      <c r="C75" s="55">
        <f t="shared" si="6"/>
        <v>72</v>
      </c>
      <c r="D75" s="55">
        <f t="shared" si="6"/>
        <v>288</v>
      </c>
      <c r="E75" s="55">
        <f t="shared" si="6"/>
        <v>288</v>
      </c>
      <c r="F75" s="55">
        <f t="shared" si="6"/>
        <v>288</v>
      </c>
      <c r="G75" s="55">
        <f t="shared" si="6"/>
        <v>288</v>
      </c>
    </row>
    <row r="76" spans="1:10" x14ac:dyDescent="0.2">
      <c r="A76" s="51" t="str">
        <f>A64</f>
        <v>UNIVERSITE</v>
      </c>
      <c r="B76" s="55"/>
      <c r="C76" s="55">
        <f t="shared" si="6"/>
        <v>0</v>
      </c>
      <c r="D76" s="55">
        <f t="shared" si="6"/>
        <v>0</v>
      </c>
      <c r="E76" s="55">
        <f t="shared" si="6"/>
        <v>0</v>
      </c>
      <c r="F76" s="55">
        <f t="shared" si="6"/>
        <v>312</v>
      </c>
      <c r="G76" s="55">
        <f t="shared" si="6"/>
        <v>312</v>
      </c>
    </row>
    <row r="77" spans="1:10" x14ac:dyDescent="0.2">
      <c r="A77" s="51" t="s">
        <v>396</v>
      </c>
      <c r="B77" s="55"/>
      <c r="C77" s="55">
        <f>C$71*((C65+C52)/(C$46+C$59))</f>
        <v>0</v>
      </c>
      <c r="D77" s="55">
        <f t="shared" ref="D77:G77" si="7">D$71*((D65+D52)/(D$46+D$59))</f>
        <v>0</v>
      </c>
      <c r="E77" s="55">
        <f t="shared" si="7"/>
        <v>0</v>
      </c>
      <c r="F77" s="55">
        <f t="shared" si="7"/>
        <v>0</v>
      </c>
      <c r="G77" s="55">
        <f t="shared" si="7"/>
        <v>0</v>
      </c>
    </row>
    <row r="78" spans="1:10" x14ac:dyDescent="0.2">
      <c r="A78" s="54" t="s">
        <v>60</v>
      </c>
      <c r="B78" s="52"/>
      <c r="C78" s="52"/>
      <c r="D78" s="52"/>
      <c r="E78" s="52"/>
      <c r="F78" s="52"/>
      <c r="G78" s="52"/>
      <c r="H78" s="16">
        <f>SUM(H79:H82)</f>
        <v>1</v>
      </c>
    </row>
    <row r="79" spans="1:10" x14ac:dyDescent="0.2">
      <c r="A79" s="51" t="s">
        <v>71</v>
      </c>
      <c r="B79" s="52"/>
      <c r="C79" s="52">
        <f>C$71*$H79</f>
        <v>0</v>
      </c>
      <c r="D79" s="52">
        <f t="shared" ref="D79:G82" si="8">D$71*$H79</f>
        <v>0</v>
      </c>
      <c r="E79" s="52">
        <f t="shared" si="8"/>
        <v>0</v>
      </c>
      <c r="F79" s="52">
        <f t="shared" si="8"/>
        <v>0</v>
      </c>
      <c r="G79" s="52">
        <f t="shared" si="8"/>
        <v>0</v>
      </c>
      <c r="H79" s="50">
        <v>0</v>
      </c>
    </row>
    <row r="80" spans="1:10" x14ac:dyDescent="0.2">
      <c r="A80" s="51" t="s">
        <v>61</v>
      </c>
      <c r="B80" s="52"/>
      <c r="C80" s="52">
        <f>C$71*$H80</f>
        <v>39</v>
      </c>
      <c r="D80" s="52">
        <f t="shared" si="8"/>
        <v>156</v>
      </c>
      <c r="E80" s="52">
        <f t="shared" si="8"/>
        <v>156</v>
      </c>
      <c r="F80" s="52">
        <f t="shared" si="8"/>
        <v>234</v>
      </c>
      <c r="G80" s="52">
        <f t="shared" si="8"/>
        <v>282</v>
      </c>
      <c r="H80" s="50">
        <v>0.25</v>
      </c>
    </row>
    <row r="81" spans="1:9" x14ac:dyDescent="0.2">
      <c r="A81" s="51" t="s">
        <v>72</v>
      </c>
      <c r="B81" s="52"/>
      <c r="C81" s="52">
        <f>C$71*$H81</f>
        <v>78</v>
      </c>
      <c r="D81" s="52">
        <f t="shared" si="8"/>
        <v>312</v>
      </c>
      <c r="E81" s="52">
        <f t="shared" si="8"/>
        <v>312</v>
      </c>
      <c r="F81" s="52">
        <f t="shared" si="8"/>
        <v>468</v>
      </c>
      <c r="G81" s="52">
        <f t="shared" si="8"/>
        <v>564</v>
      </c>
      <c r="H81" s="50">
        <v>0.5</v>
      </c>
    </row>
    <row r="82" spans="1:9" x14ac:dyDescent="0.2">
      <c r="A82" s="51" t="s">
        <v>73</v>
      </c>
      <c r="B82" s="52"/>
      <c r="C82" s="52">
        <f>C$71*$H82</f>
        <v>39</v>
      </c>
      <c r="D82" s="52">
        <f t="shared" si="8"/>
        <v>156</v>
      </c>
      <c r="E82" s="52">
        <f t="shared" si="8"/>
        <v>156</v>
      </c>
      <c r="F82" s="52">
        <f t="shared" si="8"/>
        <v>234</v>
      </c>
      <c r="G82" s="52">
        <f t="shared" si="8"/>
        <v>282</v>
      </c>
      <c r="H82" s="50">
        <v>0.25</v>
      </c>
    </row>
    <row r="83" spans="1:9" x14ac:dyDescent="0.2">
      <c r="A83" s="37"/>
      <c r="B83" s="37"/>
      <c r="C83" s="37"/>
      <c r="D83" s="37"/>
      <c r="E83" s="37"/>
      <c r="F83" s="37"/>
      <c r="G83" s="37"/>
    </row>
    <row r="84" spans="1:9" x14ac:dyDescent="0.2">
      <c r="A84" s="40" t="s">
        <v>74</v>
      </c>
      <c r="B84" s="40"/>
      <c r="C84" s="40">
        <f t="shared" ref="C84:G84" si="9">+C71+C59+C46</f>
        <v>312</v>
      </c>
      <c r="D84" s="40">
        <f t="shared" si="9"/>
        <v>1248</v>
      </c>
      <c r="E84" s="40">
        <f t="shared" si="9"/>
        <v>1248</v>
      </c>
      <c r="F84" s="40">
        <f t="shared" si="9"/>
        <v>1872</v>
      </c>
      <c r="G84" s="40">
        <f t="shared" si="9"/>
        <v>2256</v>
      </c>
    </row>
    <row r="86" spans="1:9" x14ac:dyDescent="0.2">
      <c r="A86" s="35" t="s">
        <v>75</v>
      </c>
      <c r="B86" s="36"/>
      <c r="C86" s="36"/>
      <c r="D86" s="36"/>
      <c r="E86" s="36"/>
      <c r="F86" s="36"/>
      <c r="G86" s="36"/>
      <c r="I86" s="16" t="s">
        <v>76</v>
      </c>
    </row>
    <row r="87" spans="1:9" x14ac:dyDescent="0.2">
      <c r="A87" s="37" t="str">
        <f>+A46</f>
        <v>LIVRAISON DE BOIS</v>
      </c>
      <c r="B87" s="56"/>
      <c r="C87" s="56">
        <f>IF(SUM(C89:C91)=0,40,(C89*$H89)+(C90*$H90)+(C91*$H91))</f>
        <v>30.32835633116883</v>
      </c>
      <c r="D87" s="56">
        <f>IF(SUM(D89:D91)=0,40,(D89*$H89)+(D90*$H90)+(D91*$H91))</f>
        <v>30.32835633116883</v>
      </c>
      <c r="E87" s="56">
        <f>IF(SUM(E89:E91)=0,40,(E89*$H89)+(E90*$H90)+(E91*$H91))</f>
        <v>30.32835633116883</v>
      </c>
      <c r="F87" s="56">
        <f>IF(SUM(F89:F91)=0,40,(F89*$H89)+(F90*$H90)+(F91*$H91))</f>
        <v>30.32835633116883</v>
      </c>
      <c r="G87" s="56">
        <f>IF(SUM(G89:G91)=0,40,(G89*$H89)+(G90*$H90)+(G91*$H91))</f>
        <v>30.32835633116883</v>
      </c>
    </row>
    <row r="88" spans="1:9" x14ac:dyDescent="0.2">
      <c r="A88" s="54" t="s">
        <v>60</v>
      </c>
      <c r="B88" s="52"/>
      <c r="C88" s="52"/>
      <c r="D88" s="52"/>
      <c r="E88" s="52"/>
      <c r="F88" s="52"/>
      <c r="G88" s="52"/>
    </row>
    <row r="89" spans="1:9" x14ac:dyDescent="0.2">
      <c r="A89" s="51" t="s">
        <v>61</v>
      </c>
      <c r="B89" s="52"/>
      <c r="C89" s="57">
        <f>$F$201</f>
        <v>43.705227272727278</v>
      </c>
      <c r="D89" s="57">
        <f>$F$201</f>
        <v>43.705227272727278</v>
      </c>
      <c r="E89" s="57">
        <f>$F$201</f>
        <v>43.705227272727278</v>
      </c>
      <c r="F89" s="57">
        <f>$F$201</f>
        <v>43.705227272727278</v>
      </c>
      <c r="G89" s="57">
        <f>$F$201</f>
        <v>43.705227272727278</v>
      </c>
      <c r="H89" s="58">
        <f>H54</f>
        <v>0.1</v>
      </c>
    </row>
    <row r="90" spans="1:9" x14ac:dyDescent="0.2">
      <c r="A90" s="51" t="s">
        <v>424</v>
      </c>
      <c r="B90" s="52"/>
      <c r="C90" s="57">
        <f>$F$203</f>
        <v>26.541477272727271</v>
      </c>
      <c r="D90" s="57">
        <f>$F$203</f>
        <v>26.541477272727271</v>
      </c>
      <c r="E90" s="57">
        <f>$F$203</f>
        <v>26.541477272727271</v>
      </c>
      <c r="F90" s="57">
        <f>$F$203</f>
        <v>26.541477272727271</v>
      </c>
      <c r="G90" s="57">
        <f>$F$203</f>
        <v>26.541477272727271</v>
      </c>
      <c r="H90" s="58">
        <f>H55</f>
        <v>0.45</v>
      </c>
    </row>
    <row r="91" spans="1:9" x14ac:dyDescent="0.2">
      <c r="A91" s="51" t="s">
        <v>63</v>
      </c>
      <c r="B91" s="52"/>
      <c r="C91" s="57">
        <f>$F$204</f>
        <v>31.142597402597403</v>
      </c>
      <c r="D91" s="57">
        <f>$F$204</f>
        <v>31.142597402597403</v>
      </c>
      <c r="E91" s="57">
        <f>$F$204</f>
        <v>31.142597402597403</v>
      </c>
      <c r="F91" s="57">
        <f>$F$204</f>
        <v>31.142597402597403</v>
      </c>
      <c r="G91" s="57">
        <f>$F$204</f>
        <v>31.142597402597403</v>
      </c>
      <c r="H91" s="58">
        <f>H56</f>
        <v>0.45</v>
      </c>
    </row>
    <row r="92" spans="1:9" x14ac:dyDescent="0.2">
      <c r="A92" s="51"/>
      <c r="B92" s="52"/>
      <c r="C92" s="57"/>
      <c r="D92" s="57"/>
      <c r="E92" s="57"/>
      <c r="F92" s="57"/>
      <c r="G92" s="57"/>
      <c r="H92" s="59"/>
    </row>
    <row r="93" spans="1:9" x14ac:dyDescent="0.2">
      <c r="A93" s="37" t="str">
        <f>+A59</f>
        <v>EXPLOITATION ET PETIT ENTRETIEN</v>
      </c>
      <c r="B93" s="56"/>
      <c r="C93" s="56">
        <f>IF(SUM(C95:C97)=0,40,(C95*$H95)+(C96*$H96)+(C97*$H97))</f>
        <v>30.894451298701298</v>
      </c>
      <c r="D93" s="56">
        <f>IF(SUM(D95:D97)=0,40,(D95*$H95)+(D96*$H96)+(D97*$H97))</f>
        <v>30.894451298701298</v>
      </c>
      <c r="E93" s="56">
        <f>IF(SUM(E95:E97)=0,40,(E95*$H95)+(E96*$H96)+(E97*$H97))</f>
        <v>30.894451298701298</v>
      </c>
      <c r="F93" s="56">
        <f>IF(SUM(F95:F97)=0,40,(F95*$H95)+(F96*$H96)+(F97*$H97))</f>
        <v>30.894451298701298</v>
      </c>
      <c r="G93" s="56">
        <f>IF(SUM(G95:G97)=0,40,(G95*$H95)+(G96*$H96)+(G97*$H97))</f>
        <v>30.894451298701298</v>
      </c>
    </row>
    <row r="94" spans="1:9" x14ac:dyDescent="0.2">
      <c r="A94" s="54" t="s">
        <v>60</v>
      </c>
      <c r="B94" s="56"/>
      <c r="C94" s="56"/>
      <c r="D94" s="56"/>
      <c r="E94" s="56"/>
      <c r="F94" s="56"/>
      <c r="G94" s="56"/>
    </row>
    <row r="95" spans="1:9" x14ac:dyDescent="0.2">
      <c r="A95" s="51" t="s">
        <v>61</v>
      </c>
      <c r="B95" s="56"/>
      <c r="C95" s="56">
        <f t="shared" ref="C95:G97" si="10">C89</f>
        <v>43.705227272727278</v>
      </c>
      <c r="D95" s="56">
        <f t="shared" si="10"/>
        <v>43.705227272727278</v>
      </c>
      <c r="E95" s="56">
        <f t="shared" si="10"/>
        <v>43.705227272727278</v>
      </c>
      <c r="F95" s="56">
        <f t="shared" si="10"/>
        <v>43.705227272727278</v>
      </c>
      <c r="G95" s="56">
        <f t="shared" si="10"/>
        <v>43.705227272727278</v>
      </c>
      <c r="H95" s="16">
        <f>H67</f>
        <v>0.2</v>
      </c>
    </row>
    <row r="96" spans="1:9" x14ac:dyDescent="0.2">
      <c r="A96" s="51" t="s">
        <v>62</v>
      </c>
      <c r="B96" s="56"/>
      <c r="C96" s="56">
        <f t="shared" si="10"/>
        <v>26.541477272727271</v>
      </c>
      <c r="D96" s="56">
        <f t="shared" si="10"/>
        <v>26.541477272727271</v>
      </c>
      <c r="E96" s="56">
        <f t="shared" si="10"/>
        <v>26.541477272727271</v>
      </c>
      <c r="F96" s="56">
        <f t="shared" si="10"/>
        <v>26.541477272727271</v>
      </c>
      <c r="G96" s="56">
        <f t="shared" si="10"/>
        <v>26.541477272727271</v>
      </c>
      <c r="H96" s="16">
        <f>H68</f>
        <v>0.6</v>
      </c>
    </row>
    <row r="97" spans="1:9" x14ac:dyDescent="0.2">
      <c r="A97" s="51" t="s">
        <v>63</v>
      </c>
      <c r="B97" s="56"/>
      <c r="C97" s="56">
        <f t="shared" si="10"/>
        <v>31.142597402597403</v>
      </c>
      <c r="D97" s="56">
        <f t="shared" si="10"/>
        <v>31.142597402597403</v>
      </c>
      <c r="E97" s="56">
        <f t="shared" si="10"/>
        <v>31.142597402597403</v>
      </c>
      <c r="F97" s="56">
        <f t="shared" si="10"/>
        <v>31.142597402597403</v>
      </c>
      <c r="G97" s="56">
        <f t="shared" si="10"/>
        <v>31.142597402597403</v>
      </c>
      <c r="H97" s="16">
        <f>H69</f>
        <v>0.2</v>
      </c>
      <c r="I97" s="48"/>
    </row>
    <row r="98" spans="1:9" x14ac:dyDescent="0.2">
      <c r="A98" s="51"/>
      <c r="B98" s="56"/>
      <c r="C98" s="56"/>
      <c r="D98" s="56"/>
      <c r="E98" s="56"/>
      <c r="F98" s="56"/>
      <c r="G98" s="56"/>
    </row>
    <row r="99" spans="1:9" x14ac:dyDescent="0.2">
      <c r="A99" s="60" t="s">
        <v>66</v>
      </c>
      <c r="B99" s="56"/>
      <c r="C99" s="56">
        <f>IF(SUM(C101:C104)=0,60,(C101*$H101)+(C102*$H102)+(C103*$H103)+(C104*$H104))</f>
        <v>39.772264610389612</v>
      </c>
      <c r="D99" s="56">
        <f>IF(SUM(D101:D104)=0,60,(D101*$H101)+(D102*$H102)+(D103*$H103)+(D104*$H104))</f>
        <v>39.772264610389612</v>
      </c>
      <c r="E99" s="56">
        <f>IF(SUM(E101:E104)=0,60,(E101*$H101)+(E102*$H102)+(E103*$H103)+(E104*$H104))</f>
        <v>39.772264610389612</v>
      </c>
      <c r="F99" s="56">
        <f>IF(SUM(F101:F104)=0,60,(F101*$H101)+(F102*$H102)+(F103*$H103)+(F104*$H104))</f>
        <v>39.772264610389612</v>
      </c>
      <c r="G99" s="56">
        <f>IF(SUM(G101:G104)=0,60,(G101*$H101)+(G102*$H102)+(G103*$H103)+(G104*$H104))</f>
        <v>39.772264610389612</v>
      </c>
    </row>
    <row r="100" spans="1:9" x14ac:dyDescent="0.2">
      <c r="A100" s="54" t="s">
        <v>60</v>
      </c>
      <c r="B100" s="56"/>
      <c r="C100" s="56"/>
      <c r="D100" s="56"/>
      <c r="E100" s="56"/>
      <c r="F100" s="56"/>
      <c r="G100" s="56"/>
    </row>
    <row r="101" spans="1:9" x14ac:dyDescent="0.2">
      <c r="A101" s="51" t="s">
        <v>71</v>
      </c>
      <c r="B101" s="56"/>
      <c r="C101" s="56">
        <f>$F$207</f>
        <v>53.671437461107658</v>
      </c>
      <c r="D101" s="56">
        <f>$F$207</f>
        <v>53.671437461107658</v>
      </c>
      <c r="E101" s="56">
        <f>$F$207</f>
        <v>53.671437461107658</v>
      </c>
      <c r="F101" s="56">
        <f>$F$207</f>
        <v>53.671437461107658</v>
      </c>
      <c r="G101" s="56">
        <f>$F$207</f>
        <v>53.671437461107658</v>
      </c>
      <c r="H101" s="16">
        <f>H79</f>
        <v>0</v>
      </c>
    </row>
    <row r="102" spans="1:9" x14ac:dyDescent="0.2">
      <c r="A102" s="51" t="s">
        <v>61</v>
      </c>
      <c r="B102" s="56"/>
      <c r="C102" s="56">
        <f>C95</f>
        <v>43.705227272727278</v>
      </c>
      <c r="D102" s="56">
        <f>D95</f>
        <v>43.705227272727278</v>
      </c>
      <c r="E102" s="56">
        <f>E95</f>
        <v>43.705227272727278</v>
      </c>
      <c r="F102" s="56">
        <f>F95</f>
        <v>43.705227272727278</v>
      </c>
      <c r="G102" s="56">
        <f>G95</f>
        <v>43.705227272727278</v>
      </c>
      <c r="H102" s="16">
        <f>H80</f>
        <v>0.25</v>
      </c>
    </row>
    <row r="103" spans="1:9" x14ac:dyDescent="0.2">
      <c r="A103" s="51" t="s">
        <v>72</v>
      </c>
      <c r="B103" s="56"/>
      <c r="C103" s="56">
        <f>$F$206</f>
        <v>31.176201298701301</v>
      </c>
      <c r="D103" s="56">
        <f>$F$206</f>
        <v>31.176201298701301</v>
      </c>
      <c r="E103" s="56">
        <f>$F$206</f>
        <v>31.176201298701301</v>
      </c>
      <c r="F103" s="56">
        <f>$F$206</f>
        <v>31.176201298701301</v>
      </c>
      <c r="G103" s="56">
        <f>$F$206</f>
        <v>31.176201298701301</v>
      </c>
      <c r="H103" s="16">
        <f>H81</f>
        <v>0.5</v>
      </c>
    </row>
    <row r="104" spans="1:9" x14ac:dyDescent="0.2">
      <c r="A104" s="51" t="s">
        <v>73</v>
      </c>
      <c r="B104" s="56"/>
      <c r="C104" s="56">
        <f>$F$205</f>
        <v>53.03142857142857</v>
      </c>
      <c r="D104" s="56">
        <f>$F$205</f>
        <v>53.03142857142857</v>
      </c>
      <c r="E104" s="56">
        <f>$F$205</f>
        <v>53.03142857142857</v>
      </c>
      <c r="F104" s="56">
        <f>$F$205</f>
        <v>53.03142857142857</v>
      </c>
      <c r="G104" s="56">
        <f>$F$205</f>
        <v>53.03142857142857</v>
      </c>
      <c r="H104" s="16">
        <f>H82</f>
        <v>0.25</v>
      </c>
    </row>
    <row r="105" spans="1:9" x14ac:dyDescent="0.2">
      <c r="A105" s="51"/>
      <c r="B105" s="56"/>
      <c r="C105" s="56"/>
      <c r="D105" s="56"/>
      <c r="E105" s="56"/>
      <c r="F105" s="56"/>
      <c r="G105" s="56"/>
    </row>
    <row r="106" spans="1:9" x14ac:dyDescent="0.2">
      <c r="A106" s="40" t="s">
        <v>77</v>
      </c>
      <c r="B106" s="61"/>
      <c r="C106" s="61">
        <f t="shared" ref="C106:G106" si="11">C87*C46+C59*C93+C99*C71</f>
        <v>10996.835123376623</v>
      </c>
      <c r="D106" s="61">
        <f t="shared" si="11"/>
        <v>43987.34049350649</v>
      </c>
      <c r="E106" s="61">
        <f t="shared" si="11"/>
        <v>43987.34049350649</v>
      </c>
      <c r="F106" s="61">
        <f t="shared" si="11"/>
        <v>65994.597019480527</v>
      </c>
      <c r="G106" s="61">
        <f t="shared" si="11"/>
        <v>79535.433915584421</v>
      </c>
    </row>
    <row r="107" spans="1:9" x14ac:dyDescent="0.2">
      <c r="A107" s="40" t="s">
        <v>78</v>
      </c>
      <c r="B107" s="61"/>
      <c r="C107" s="61">
        <f t="shared" ref="C107:G107" si="12">C106*0.02</f>
        <v>219.93670246753246</v>
      </c>
      <c r="D107" s="61">
        <f t="shared" si="12"/>
        <v>879.74680987012982</v>
      </c>
      <c r="E107" s="61">
        <f t="shared" si="12"/>
        <v>879.74680987012982</v>
      </c>
      <c r="F107" s="61">
        <f t="shared" si="12"/>
        <v>1319.8919403896105</v>
      </c>
      <c r="G107" s="61">
        <f t="shared" si="12"/>
        <v>1590.7086783116883</v>
      </c>
    </row>
    <row r="108" spans="1:9" x14ac:dyDescent="0.2">
      <c r="A108" s="40" t="s">
        <v>79</v>
      </c>
      <c r="B108" s="61"/>
      <c r="C108" s="61">
        <f t="shared" ref="C108:G108" si="13">C107+C106</f>
        <v>11216.771825844155</v>
      </c>
      <c r="D108" s="61">
        <f t="shared" si="13"/>
        <v>44867.087303376618</v>
      </c>
      <c r="E108" s="61">
        <f t="shared" si="13"/>
        <v>44867.087303376618</v>
      </c>
      <c r="F108" s="61">
        <f t="shared" si="13"/>
        <v>67314.488959870141</v>
      </c>
      <c r="G108" s="61">
        <f t="shared" si="13"/>
        <v>81126.142593896104</v>
      </c>
    </row>
    <row r="109" spans="1:9" x14ac:dyDescent="0.2">
      <c r="A109" s="40" t="s">
        <v>413</v>
      </c>
      <c r="B109" s="61"/>
      <c r="C109" s="61">
        <f>C87*C46+C93*C59</f>
        <v>4792.3618441558438</v>
      </c>
      <c r="D109" s="61">
        <f t="shared" ref="D109:G109" si="14">D87*D46+D93*D59</f>
        <v>19169.447376623375</v>
      </c>
      <c r="E109" s="61">
        <f t="shared" si="14"/>
        <v>19169.447376623375</v>
      </c>
      <c r="F109" s="61">
        <f t="shared" si="14"/>
        <v>28767.757344155845</v>
      </c>
      <c r="G109" s="61">
        <f t="shared" si="14"/>
        <v>34672.319435064936</v>
      </c>
    </row>
    <row r="110" spans="1:9" x14ac:dyDescent="0.2">
      <c r="A110" s="40" t="s">
        <v>415</v>
      </c>
      <c r="B110" s="61"/>
      <c r="C110" s="61">
        <f>C192</f>
        <v>0</v>
      </c>
      <c r="D110" s="61">
        <f t="shared" ref="D110:G110" si="15">D192</f>
        <v>0</v>
      </c>
      <c r="E110" s="61">
        <f t="shared" si="15"/>
        <v>9604.7000000000007</v>
      </c>
      <c r="F110" s="61">
        <f t="shared" si="15"/>
        <v>17262.733124999999</v>
      </c>
      <c r="G110" s="61">
        <f t="shared" si="15"/>
        <v>17262.733124999999</v>
      </c>
    </row>
    <row r="111" spans="1:9" x14ac:dyDescent="0.2">
      <c r="A111" s="40" t="s">
        <v>414</v>
      </c>
      <c r="B111" s="61"/>
      <c r="C111" s="61">
        <f>C99*C71</f>
        <v>6204.4732792207797</v>
      </c>
      <c r="D111" s="61">
        <f t="shared" ref="D111:G111" si="16">D99*D71</f>
        <v>24817.893116883119</v>
      </c>
      <c r="E111" s="61">
        <f t="shared" si="16"/>
        <v>24817.893116883119</v>
      </c>
      <c r="F111" s="61">
        <f t="shared" si="16"/>
        <v>37226.839675324678</v>
      </c>
      <c r="G111" s="61">
        <f t="shared" si="16"/>
        <v>44863.114480519485</v>
      </c>
    </row>
    <row r="112" spans="1:9" x14ac:dyDescent="0.2">
      <c r="B112" s="34"/>
      <c r="C112" s="275"/>
      <c r="D112" s="275"/>
      <c r="E112" s="275"/>
      <c r="F112" s="275"/>
      <c r="G112" s="275"/>
    </row>
    <row r="113" spans="1:11" x14ac:dyDescent="0.2">
      <c r="A113" s="40"/>
      <c r="B113" s="61"/>
      <c r="C113" s="61">
        <f>C43</f>
        <v>43646</v>
      </c>
      <c r="D113" s="61">
        <f>D43</f>
        <v>44012</v>
      </c>
      <c r="E113" s="61">
        <f>E43</f>
        <v>44377</v>
      </c>
      <c r="F113" s="61">
        <f>F43</f>
        <v>44742</v>
      </c>
      <c r="G113" s="61">
        <f>G43</f>
        <v>45107</v>
      </c>
    </row>
    <row r="114" spans="1:11" x14ac:dyDescent="0.2">
      <c r="B114" s="34"/>
      <c r="C114" s="275"/>
      <c r="D114" s="275"/>
      <c r="E114" s="275"/>
      <c r="F114" s="275"/>
      <c r="G114" s="275"/>
    </row>
    <row r="115" spans="1:11" x14ac:dyDescent="0.2">
      <c r="A115" s="49" t="s">
        <v>400</v>
      </c>
      <c r="B115" s="49"/>
      <c r="C115" s="420">
        <f>SUM(C116:C121)</f>
        <v>250</v>
      </c>
      <c r="D115" s="420">
        <f t="shared" ref="D115:G115" si="17">SUM(D116:D121)</f>
        <v>800</v>
      </c>
      <c r="E115" s="420">
        <f t="shared" si="17"/>
        <v>800</v>
      </c>
      <c r="F115" s="420">
        <f t="shared" si="17"/>
        <v>800</v>
      </c>
      <c r="G115" s="420">
        <f t="shared" si="17"/>
        <v>0</v>
      </c>
    </row>
    <row r="116" spans="1:11" x14ac:dyDescent="0.2">
      <c r="A116" s="51" t="s">
        <v>403</v>
      </c>
      <c r="B116" s="55"/>
      <c r="C116" s="55">
        <v>50</v>
      </c>
      <c r="D116" s="55">
        <v>200</v>
      </c>
      <c r="E116" s="55">
        <v>200</v>
      </c>
      <c r="F116" s="55">
        <v>0</v>
      </c>
      <c r="G116" s="55">
        <v>0</v>
      </c>
    </row>
    <row r="117" spans="1:11" x14ac:dyDescent="0.2">
      <c r="A117" s="51" t="s">
        <v>404</v>
      </c>
      <c r="B117" s="55"/>
      <c r="C117" s="55">
        <v>50</v>
      </c>
      <c r="D117" s="55">
        <v>100</v>
      </c>
      <c r="E117" s="55">
        <v>50</v>
      </c>
      <c r="F117" s="55">
        <v>0</v>
      </c>
      <c r="G117" s="55">
        <v>0</v>
      </c>
    </row>
    <row r="118" spans="1:11" x14ac:dyDescent="0.2">
      <c r="A118" s="51" t="s">
        <v>405</v>
      </c>
      <c r="B118" s="55"/>
      <c r="C118" s="55">
        <v>50</v>
      </c>
      <c r="D118" s="55">
        <v>150</v>
      </c>
      <c r="E118" s="55">
        <v>150</v>
      </c>
      <c r="F118" s="55">
        <v>0</v>
      </c>
      <c r="G118" s="55">
        <v>0</v>
      </c>
    </row>
    <row r="119" spans="1:11" x14ac:dyDescent="0.2">
      <c r="A119" s="51" t="s">
        <v>406</v>
      </c>
      <c r="B119" s="55"/>
      <c r="C119" s="55">
        <v>50</v>
      </c>
      <c r="D119" s="55">
        <v>200</v>
      </c>
      <c r="E119" s="55">
        <v>200</v>
      </c>
      <c r="F119" s="55">
        <v>50</v>
      </c>
      <c r="G119" s="55">
        <v>0</v>
      </c>
    </row>
    <row r="120" spans="1:11" x14ac:dyDescent="0.2">
      <c r="A120" s="51" t="s">
        <v>407</v>
      </c>
      <c r="B120" s="55"/>
      <c r="C120" s="55">
        <v>50</v>
      </c>
      <c r="D120" s="55">
        <v>100</v>
      </c>
      <c r="E120" s="55">
        <v>100</v>
      </c>
      <c r="F120" s="55">
        <f>F$71*((F105+F92)/(F$46+F$59))</f>
        <v>0</v>
      </c>
      <c r="G120" s="55">
        <f>G$71*((G105+G92)/(G$46+G$59))</f>
        <v>0</v>
      </c>
    </row>
    <row r="121" spans="1:11" x14ac:dyDescent="0.2">
      <c r="A121" s="51" t="s">
        <v>396</v>
      </c>
      <c r="B121" s="55"/>
      <c r="C121" s="55"/>
      <c r="D121" s="55">
        <v>50</v>
      </c>
      <c r="E121" s="55">
        <v>100</v>
      </c>
      <c r="F121" s="55">
        <v>750</v>
      </c>
      <c r="G121" s="55"/>
    </row>
    <row r="122" spans="1:11" x14ac:dyDescent="0.2">
      <c r="A122" s="54" t="s">
        <v>60</v>
      </c>
      <c r="B122" s="52"/>
      <c r="C122" s="52"/>
      <c r="D122" s="52"/>
      <c r="E122" s="52"/>
      <c r="F122" s="52"/>
      <c r="G122" s="52"/>
    </row>
    <row r="123" spans="1:11" x14ac:dyDescent="0.2">
      <c r="A123" s="51" t="s">
        <v>401</v>
      </c>
      <c r="B123" s="52"/>
      <c r="C123" s="52">
        <f>C$115*$H123</f>
        <v>75</v>
      </c>
      <c r="D123" s="52">
        <f t="shared" ref="D123:G127" si="18">D$115*$H123</f>
        <v>240</v>
      </c>
      <c r="E123" s="52">
        <f t="shared" si="18"/>
        <v>240</v>
      </c>
      <c r="F123" s="52">
        <f t="shared" si="18"/>
        <v>240</v>
      </c>
      <c r="G123" s="52">
        <f t="shared" si="18"/>
        <v>0</v>
      </c>
      <c r="H123" s="16">
        <v>0.3</v>
      </c>
      <c r="I123" s="421">
        <f>C123/(1540/2)</f>
        <v>9.7402597402597407E-2</v>
      </c>
      <c r="J123" s="421">
        <f>D123/(1540)</f>
        <v>0.15584415584415584</v>
      </c>
      <c r="K123" s="421">
        <f>E123/(1540/2)</f>
        <v>0.31168831168831168</v>
      </c>
    </row>
    <row r="124" spans="1:11" x14ac:dyDescent="0.2">
      <c r="A124" s="51" t="s">
        <v>402</v>
      </c>
      <c r="B124" s="52"/>
      <c r="C124" s="52">
        <f t="shared" ref="C124:C127" si="19">C$115*$H124</f>
        <v>75</v>
      </c>
      <c r="D124" s="52">
        <f t="shared" si="18"/>
        <v>240</v>
      </c>
      <c r="E124" s="52">
        <f t="shared" si="18"/>
        <v>240</v>
      </c>
      <c r="F124" s="52">
        <f t="shared" si="18"/>
        <v>240</v>
      </c>
      <c r="G124" s="52">
        <f t="shared" si="18"/>
        <v>0</v>
      </c>
      <c r="H124" s="16">
        <v>0.3</v>
      </c>
      <c r="I124" s="421">
        <f t="shared" ref="I124:I126" si="20">C124/(1540/2)</f>
        <v>9.7402597402597407E-2</v>
      </c>
      <c r="J124" s="421">
        <f t="shared" ref="J124:J126" si="21">D124/(1540)</f>
        <v>0.15584415584415584</v>
      </c>
      <c r="K124" s="421">
        <f t="shared" ref="K124:K126" si="22">E124/(1540/2)</f>
        <v>0.31168831168831168</v>
      </c>
    </row>
    <row r="125" spans="1:11" x14ac:dyDescent="0.2">
      <c r="A125" s="51" t="s">
        <v>72</v>
      </c>
      <c r="B125" s="52"/>
      <c r="C125" s="52">
        <f t="shared" si="19"/>
        <v>25</v>
      </c>
      <c r="D125" s="52">
        <f t="shared" si="18"/>
        <v>80</v>
      </c>
      <c r="E125" s="52">
        <f t="shared" si="18"/>
        <v>80</v>
      </c>
      <c r="F125" s="52">
        <f t="shared" si="18"/>
        <v>80</v>
      </c>
      <c r="G125" s="52">
        <f t="shared" si="18"/>
        <v>0</v>
      </c>
      <c r="H125" s="16">
        <v>0.1</v>
      </c>
      <c r="I125" s="421">
        <f t="shared" si="20"/>
        <v>3.2467532467532464E-2</v>
      </c>
      <c r="J125" s="421">
        <f t="shared" si="21"/>
        <v>5.1948051948051951E-2</v>
      </c>
      <c r="K125" s="421">
        <f t="shared" si="22"/>
        <v>0.1038961038961039</v>
      </c>
    </row>
    <row r="126" spans="1:11" x14ac:dyDescent="0.2">
      <c r="A126" s="51" t="s">
        <v>73</v>
      </c>
      <c r="B126" s="52"/>
      <c r="C126" s="52">
        <f t="shared" si="19"/>
        <v>75</v>
      </c>
      <c r="D126" s="52">
        <f t="shared" si="18"/>
        <v>240</v>
      </c>
      <c r="E126" s="52">
        <f t="shared" si="18"/>
        <v>240</v>
      </c>
      <c r="F126" s="52">
        <f t="shared" si="18"/>
        <v>240</v>
      </c>
      <c r="G126" s="52">
        <f t="shared" si="18"/>
        <v>0</v>
      </c>
      <c r="H126" s="16">
        <v>0.3</v>
      </c>
      <c r="I126" s="421">
        <f t="shared" si="20"/>
        <v>9.7402597402597407E-2</v>
      </c>
      <c r="J126" s="421">
        <f t="shared" si="21"/>
        <v>0.15584415584415584</v>
      </c>
      <c r="K126" s="421">
        <f t="shared" si="22"/>
        <v>0.31168831168831168</v>
      </c>
    </row>
    <row r="127" spans="1:11" x14ac:dyDescent="0.2">
      <c r="A127" s="51" t="s">
        <v>425</v>
      </c>
      <c r="B127" s="37"/>
      <c r="C127" s="52">
        <f t="shared" si="19"/>
        <v>0</v>
      </c>
      <c r="D127" s="52">
        <f t="shared" si="18"/>
        <v>0</v>
      </c>
      <c r="E127" s="52">
        <f t="shared" si="18"/>
        <v>0</v>
      </c>
      <c r="F127" s="52">
        <f t="shared" si="18"/>
        <v>0</v>
      </c>
      <c r="G127" s="52">
        <f t="shared" si="18"/>
        <v>0</v>
      </c>
      <c r="H127" s="16">
        <v>0</v>
      </c>
    </row>
    <row r="128" spans="1:11" x14ac:dyDescent="0.2">
      <c r="A128" s="40" t="s">
        <v>408</v>
      </c>
      <c r="B128" s="40"/>
      <c r="C128" s="422">
        <f>C123*$D$208+C124*$D$209+C125*$D$206+C126*$D$205+C127*D210</f>
        <v>9419.1493506493498</v>
      </c>
      <c r="D128" s="422">
        <f t="shared" ref="D128:F128" si="23">D123*$D$208+D124*$D$209+D125*$D$206+D126*$D$205+D127*E210</f>
        <v>30141.277922077927</v>
      </c>
      <c r="E128" s="422">
        <f t="shared" si="23"/>
        <v>30141.277922077927</v>
      </c>
      <c r="F128" s="422">
        <f t="shared" si="23"/>
        <v>30141.277922077927</v>
      </c>
      <c r="G128" s="422">
        <f>G123*$D$208+G124*$D$209+G125*$D$206+G126*$D$205+G127*H210</f>
        <v>0</v>
      </c>
    </row>
    <row r="129" spans="1:8" x14ac:dyDescent="0.2">
      <c r="B129" s="34"/>
      <c r="C129" s="275"/>
      <c r="D129" s="275"/>
      <c r="E129" s="275"/>
      <c r="F129" s="275"/>
      <c r="G129" s="275"/>
    </row>
    <row r="130" spans="1:8" x14ac:dyDescent="0.2">
      <c r="B130" s="34"/>
      <c r="C130" s="275"/>
      <c r="D130" s="275"/>
      <c r="E130" s="275"/>
      <c r="F130" s="275"/>
      <c r="G130" s="275"/>
    </row>
    <row r="132" spans="1:8" x14ac:dyDescent="0.2">
      <c r="A132" s="35" t="s">
        <v>80</v>
      </c>
      <c r="B132" s="36"/>
      <c r="C132" s="36"/>
      <c r="D132" s="36"/>
      <c r="E132" s="36"/>
      <c r="F132" s="36"/>
      <c r="G132" s="36"/>
    </row>
    <row r="133" spans="1:8" x14ac:dyDescent="0.2">
      <c r="A133" s="49"/>
      <c r="B133" s="49"/>
      <c r="C133" s="49"/>
      <c r="D133" s="49"/>
      <c r="E133" s="49"/>
      <c r="F133" s="49"/>
      <c r="G133" s="49"/>
    </row>
    <row r="134" spans="1:8" x14ac:dyDescent="0.2">
      <c r="A134" s="51" t="str">
        <f>A11</f>
        <v>ZAC du Manio</v>
      </c>
      <c r="B134" s="62"/>
      <c r="C134" s="63"/>
      <c r="D134" s="63"/>
      <c r="E134" s="63">
        <v>0</v>
      </c>
      <c r="F134" s="63">
        <v>0</v>
      </c>
      <c r="G134" s="63">
        <v>0</v>
      </c>
    </row>
    <row r="135" spans="1:8" x14ac:dyDescent="0.2">
      <c r="A135" s="51" t="str">
        <f>A12</f>
        <v>LORIENT AGGLO</v>
      </c>
      <c r="B135" s="64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</row>
    <row r="136" spans="1:8" x14ac:dyDescent="0.2">
      <c r="A136" s="51" t="str">
        <f>A13</f>
        <v>LOCMIQUELIC</v>
      </c>
      <c r="B136" s="64"/>
      <c r="C136" s="65">
        <f>3000/12*9</f>
        <v>2250</v>
      </c>
      <c r="D136" s="65">
        <v>3000</v>
      </c>
      <c r="E136" s="65">
        <v>3000</v>
      </c>
      <c r="F136" s="65">
        <v>3000</v>
      </c>
      <c r="G136" s="65">
        <v>3000</v>
      </c>
    </row>
    <row r="137" spans="1:8" x14ac:dyDescent="0.2">
      <c r="A137" s="51" t="str">
        <f>A14</f>
        <v>LANESTER</v>
      </c>
      <c r="B137" s="64"/>
      <c r="C137" s="65">
        <v>2500</v>
      </c>
      <c r="D137" s="65">
        <v>5000</v>
      </c>
      <c r="E137" s="65">
        <v>5000</v>
      </c>
      <c r="F137" s="65">
        <v>5000</v>
      </c>
      <c r="G137" s="65">
        <v>5000</v>
      </c>
    </row>
    <row r="138" spans="1:8" x14ac:dyDescent="0.2">
      <c r="A138" s="51" t="str">
        <f>A15</f>
        <v>UNIVERSITE</v>
      </c>
      <c r="B138" s="64"/>
      <c r="C138" s="65"/>
      <c r="D138" s="65"/>
      <c r="E138" s="65">
        <v>0</v>
      </c>
      <c r="F138" s="65">
        <v>28413.32</v>
      </c>
      <c r="G138" s="65">
        <v>28413.32</v>
      </c>
      <c r="H138" s="70"/>
    </row>
    <row r="139" spans="1:8" x14ac:dyDescent="0.2">
      <c r="A139" s="51" t="s">
        <v>51</v>
      </c>
      <c r="B139" s="64"/>
      <c r="C139" s="65"/>
      <c r="D139" s="65"/>
      <c r="E139" s="65">
        <f>E135</f>
        <v>0</v>
      </c>
      <c r="F139" s="65">
        <f>F135</f>
        <v>0</v>
      </c>
      <c r="G139" s="65">
        <f>G135</f>
        <v>0</v>
      </c>
      <c r="H139" s="70"/>
    </row>
    <row r="140" spans="1:8" x14ac:dyDescent="0.2">
      <c r="A140" s="40" t="s">
        <v>81</v>
      </c>
      <c r="B140" s="66">
        <f>SUM(B134:B138)</f>
        <v>0</v>
      </c>
      <c r="C140" s="66">
        <f>SUM(C134:C138)</f>
        <v>4750</v>
      </c>
      <c r="D140" s="66">
        <f>SUM(D134:D138)</f>
        <v>8000</v>
      </c>
      <c r="E140" s="66">
        <f>SUM(E134:E139)</f>
        <v>8000</v>
      </c>
      <c r="F140" s="66">
        <f>SUM(F134:F139)</f>
        <v>36413.32</v>
      </c>
      <c r="G140" s="66">
        <f>SUM(G134:G139)</f>
        <v>36413.32</v>
      </c>
    </row>
    <row r="141" spans="1:8" x14ac:dyDescent="0.2">
      <c r="A141" s="67"/>
      <c r="B141" s="67"/>
      <c r="C141" s="67"/>
      <c r="D141" s="67"/>
      <c r="E141" s="67"/>
      <c r="F141" s="67"/>
      <c r="G141" s="67"/>
    </row>
    <row r="142" spans="1:8" ht="15.75" x14ac:dyDescent="0.25">
      <c r="A142" s="31" t="s">
        <v>82</v>
      </c>
      <c r="B142" s="67"/>
      <c r="C142" s="67"/>
      <c r="D142" s="67"/>
      <c r="E142" s="67"/>
      <c r="F142" s="67"/>
      <c r="G142" s="67"/>
    </row>
    <row r="144" spans="1:8" x14ac:dyDescent="0.2">
      <c r="B144" s="34">
        <f t="shared" ref="B144:G144" si="24">B8</f>
        <v>0</v>
      </c>
      <c r="C144" s="275">
        <f t="shared" si="24"/>
        <v>43646</v>
      </c>
      <c r="D144" s="275">
        <f t="shared" si="24"/>
        <v>44012</v>
      </c>
      <c r="E144" s="275">
        <f t="shared" si="24"/>
        <v>44377</v>
      </c>
      <c r="F144" s="275">
        <f t="shared" si="24"/>
        <v>44742</v>
      </c>
      <c r="G144" s="275">
        <f t="shared" si="24"/>
        <v>45107</v>
      </c>
    </row>
    <row r="146" spans="1:7" x14ac:dyDescent="0.2">
      <c r="A146" s="35" t="s">
        <v>83</v>
      </c>
      <c r="B146" s="36"/>
      <c r="C146" s="36"/>
      <c r="D146" s="36"/>
      <c r="E146" s="36"/>
      <c r="F146" s="36"/>
      <c r="G146" s="36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51" t="str">
        <f>+A134</f>
        <v>ZAC du Manio</v>
      </c>
      <c r="B148" s="62"/>
      <c r="C148" s="62"/>
      <c r="D148" s="62"/>
      <c r="E148" s="63"/>
      <c r="F148" s="63"/>
      <c r="G148" s="63">
        <v>0</v>
      </c>
    </row>
    <row r="149" spans="1:7" x14ac:dyDescent="0.2">
      <c r="A149" s="51" t="str">
        <f>+A135</f>
        <v>LORIENT AGGLO</v>
      </c>
      <c r="B149" s="68"/>
      <c r="C149" s="68"/>
      <c r="D149" s="68"/>
      <c r="E149" s="69"/>
      <c r="F149" s="69"/>
      <c r="G149" s="69"/>
    </row>
    <row r="150" spans="1:7" x14ac:dyDescent="0.2">
      <c r="A150" s="51" t="str">
        <f>+A136</f>
        <v>LOCMIQUELIC</v>
      </c>
      <c r="B150" s="68"/>
      <c r="C150" s="68"/>
      <c r="D150" s="68"/>
      <c r="E150" s="69"/>
      <c r="F150" s="69"/>
      <c r="G150" s="69"/>
    </row>
    <row r="151" spans="1:7" x14ac:dyDescent="0.2">
      <c r="A151" s="51" t="str">
        <f>+A137</f>
        <v>LANESTER</v>
      </c>
      <c r="B151" s="68"/>
      <c r="C151" s="68"/>
      <c r="D151" s="68"/>
      <c r="E151" s="69"/>
      <c r="F151" s="69"/>
      <c r="G151" s="69"/>
    </row>
    <row r="152" spans="1:7" x14ac:dyDescent="0.2">
      <c r="A152" s="51" t="str">
        <f>+A138</f>
        <v>UNIVERSITE</v>
      </c>
      <c r="B152" s="64"/>
      <c r="C152" s="64"/>
      <c r="D152" s="64"/>
      <c r="E152" s="65">
        <v>0</v>
      </c>
      <c r="F152" s="65">
        <v>15900</v>
      </c>
      <c r="G152" s="65">
        <v>15900</v>
      </c>
    </row>
    <row r="153" spans="1:7" x14ac:dyDescent="0.2">
      <c r="A153" s="51" t="s">
        <v>51</v>
      </c>
      <c r="B153" s="64"/>
      <c r="C153" s="64"/>
      <c r="D153" s="64"/>
      <c r="E153" s="65">
        <f>E148</f>
        <v>0</v>
      </c>
      <c r="F153" s="65">
        <f>F148</f>
        <v>0</v>
      </c>
      <c r="G153" s="65">
        <f>G148</f>
        <v>0</v>
      </c>
    </row>
    <row r="154" spans="1:7" x14ac:dyDescent="0.2">
      <c r="A154" s="40" t="s">
        <v>84</v>
      </c>
      <c r="B154" s="66">
        <f>SUM(B148:B152)</f>
        <v>0</v>
      </c>
      <c r="C154" s="66">
        <f>SUM(C148:C152)</f>
        <v>0</v>
      </c>
      <c r="D154" s="66">
        <f>SUM(D148:D152)</f>
        <v>0</v>
      </c>
      <c r="E154" s="66">
        <f>SUM(E148:E153)</f>
        <v>0</v>
      </c>
      <c r="F154" s="66">
        <f>SUM(F148:F153)</f>
        <v>15900</v>
      </c>
      <c r="G154" s="66">
        <f>SUM(G148:G153)</f>
        <v>15900</v>
      </c>
    </row>
    <row r="156" spans="1:7" ht="15.75" x14ac:dyDescent="0.25">
      <c r="A156" s="31" t="s">
        <v>85</v>
      </c>
    </row>
    <row r="158" spans="1:7" x14ac:dyDescent="0.2">
      <c r="B158" s="34">
        <f t="shared" ref="B158:G158" si="25">+B8</f>
        <v>0</v>
      </c>
      <c r="C158" s="275">
        <f t="shared" si="25"/>
        <v>43646</v>
      </c>
      <c r="D158" s="275">
        <f t="shared" si="25"/>
        <v>44012</v>
      </c>
      <c r="E158" s="275">
        <f t="shared" si="25"/>
        <v>44377</v>
      </c>
      <c r="F158" s="275">
        <f t="shared" si="25"/>
        <v>44742</v>
      </c>
      <c r="G158" s="275">
        <f t="shared" si="25"/>
        <v>45107</v>
      </c>
    </row>
    <row r="160" spans="1:7" x14ac:dyDescent="0.2">
      <c r="A160" s="35" t="s">
        <v>86</v>
      </c>
      <c r="B160" s="36">
        <v>1000</v>
      </c>
      <c r="C160" s="36">
        <v>1000</v>
      </c>
      <c r="D160" s="36">
        <v>1000</v>
      </c>
      <c r="E160" s="36">
        <v>1000</v>
      </c>
      <c r="F160" s="36">
        <v>2000</v>
      </c>
      <c r="G160" s="36">
        <v>2000</v>
      </c>
    </row>
    <row r="161" spans="1:8" x14ac:dyDescent="0.2">
      <c r="A161" s="49" t="s">
        <v>87</v>
      </c>
      <c r="B161" s="49">
        <v>20</v>
      </c>
      <c r="C161" s="49">
        <v>20</v>
      </c>
      <c r="D161" s="49">
        <v>20</v>
      </c>
      <c r="E161" s="49">
        <v>20</v>
      </c>
      <c r="F161" s="49">
        <v>50</v>
      </c>
      <c r="G161" s="49">
        <v>50</v>
      </c>
    </row>
    <row r="162" spans="1:8" x14ac:dyDescent="0.2">
      <c r="A162" s="51" t="s">
        <v>46</v>
      </c>
      <c r="B162" s="62"/>
      <c r="C162" s="415">
        <v>0</v>
      </c>
      <c r="D162" s="415">
        <v>0</v>
      </c>
      <c r="E162" s="63">
        <f t="shared" ref="E162:G168" si="26">(E10/(E$17+0))*E$161*E$160</f>
        <v>20000</v>
      </c>
      <c r="F162" s="63">
        <f t="shared" si="26"/>
        <v>55638.350720317932</v>
      </c>
      <c r="G162" s="63">
        <f t="shared" si="26"/>
        <v>55638.350720317932</v>
      </c>
    </row>
    <row r="163" spans="1:8" ht="27" customHeight="1" x14ac:dyDescent="0.2">
      <c r="A163" s="51" t="str">
        <f>+A148</f>
        <v>ZAC du Manio</v>
      </c>
      <c r="B163" s="62">
        <f>(B11/(SUM(B11:B15)+6000))*B$161*B$160</f>
        <v>0</v>
      </c>
      <c r="C163" s="415">
        <f>(C11/(C$17+0))*C$161*C$160</f>
        <v>0</v>
      </c>
      <c r="D163" s="415">
        <f>(D11/(D$17+0))*D$161*D$160</f>
        <v>0</v>
      </c>
      <c r="E163" s="63">
        <f t="shared" si="26"/>
        <v>0</v>
      </c>
      <c r="F163" s="63">
        <f t="shared" si="26"/>
        <v>0</v>
      </c>
      <c r="G163" s="63">
        <f t="shared" si="26"/>
        <v>0</v>
      </c>
    </row>
    <row r="164" spans="1:8" x14ac:dyDescent="0.2">
      <c r="A164" s="51" t="str">
        <f>+A149</f>
        <v>LORIENT AGGLO</v>
      </c>
      <c r="B164" s="62">
        <f>(B12/(SUM(B12:B17)+6000))*B$161*B$160</f>
        <v>0</v>
      </c>
      <c r="C164" s="415">
        <f>(C12/(C$17+0))*C$161*C$160</f>
        <v>0</v>
      </c>
      <c r="D164" s="415">
        <f>(D12/(D$17+0))*D$161*D$160</f>
        <v>0</v>
      </c>
      <c r="E164" s="63">
        <f t="shared" si="26"/>
        <v>0</v>
      </c>
      <c r="F164" s="63">
        <f t="shared" si="26"/>
        <v>0</v>
      </c>
      <c r="G164" s="63">
        <f t="shared" si="26"/>
        <v>0</v>
      </c>
    </row>
    <row r="165" spans="1:8" x14ac:dyDescent="0.2">
      <c r="A165" s="51" t="str">
        <f>+A150</f>
        <v>LOCMIQUELIC</v>
      </c>
      <c r="B165" s="62">
        <f>(B13/(SUM(B13:B30)+6000))*B$161*B$160</f>
        <v>0</v>
      </c>
      <c r="C165" s="415">
        <v>0</v>
      </c>
      <c r="D165" s="415">
        <v>0</v>
      </c>
      <c r="E165" s="63">
        <f t="shared" si="26"/>
        <v>0</v>
      </c>
      <c r="F165" s="63">
        <f t="shared" si="26"/>
        <v>2980.6259314456038</v>
      </c>
      <c r="G165" s="63">
        <f t="shared" si="26"/>
        <v>2980.6259314456038</v>
      </c>
    </row>
    <row r="166" spans="1:8" x14ac:dyDescent="0.2">
      <c r="A166" s="51" t="str">
        <f>+A151</f>
        <v>LANESTER</v>
      </c>
      <c r="B166" s="62">
        <f>(B14/(SUM(B14:B31)+6000))*B$161*B$160</f>
        <v>0</v>
      </c>
      <c r="C166" s="415">
        <v>0</v>
      </c>
      <c r="D166" s="415">
        <v>0</v>
      </c>
      <c r="E166" s="63">
        <f t="shared" si="26"/>
        <v>0</v>
      </c>
      <c r="F166" s="63">
        <f t="shared" si="26"/>
        <v>7948.3358171882765</v>
      </c>
      <c r="G166" s="63">
        <f t="shared" si="26"/>
        <v>7948.3358171882765</v>
      </c>
    </row>
    <row r="167" spans="1:8" x14ac:dyDescent="0.2">
      <c r="A167" s="51" t="str">
        <f>+A152</f>
        <v>UNIVERSITE</v>
      </c>
      <c r="B167" s="62">
        <f>(B15/(SUM(B15:B32)+6000))*B$161*B$160</f>
        <v>0</v>
      </c>
      <c r="C167" s="415">
        <f>(C15/(C$17+0))*C$161*C$160</f>
        <v>0</v>
      </c>
      <c r="D167" s="415">
        <f>(D15/(D$17+0))*D$161*D$160</f>
        <v>0</v>
      </c>
      <c r="E167" s="63">
        <f t="shared" si="26"/>
        <v>0</v>
      </c>
      <c r="F167" s="63">
        <f t="shared" si="26"/>
        <v>33432.687531048185</v>
      </c>
      <c r="G167" s="63">
        <f t="shared" si="26"/>
        <v>33432.687531048185</v>
      </c>
    </row>
    <row r="168" spans="1:8" x14ac:dyDescent="0.2">
      <c r="A168" s="51" t="s">
        <v>51</v>
      </c>
      <c r="B168" s="62"/>
      <c r="C168" s="63"/>
      <c r="D168" s="63"/>
      <c r="E168" s="63">
        <f t="shared" si="26"/>
        <v>0</v>
      </c>
      <c r="F168" s="63">
        <f t="shared" si="26"/>
        <v>0</v>
      </c>
      <c r="G168" s="63">
        <f t="shared" si="26"/>
        <v>0</v>
      </c>
    </row>
    <row r="169" spans="1:8" x14ac:dyDescent="0.2">
      <c r="A169" s="40" t="s">
        <v>88</v>
      </c>
      <c r="B169" s="66">
        <f>SUM(B163:B167)</f>
        <v>0</v>
      </c>
      <c r="C169" s="66">
        <v>0</v>
      </c>
      <c r="D169" s="66">
        <v>0</v>
      </c>
      <c r="E169" s="66">
        <f>SUM(E162:E168)</f>
        <v>20000</v>
      </c>
      <c r="F169" s="66">
        <f>SUM(F162:F168)</f>
        <v>100000</v>
      </c>
      <c r="G169" s="66">
        <f>SUM(G162:G168)</f>
        <v>100000</v>
      </c>
    </row>
    <row r="171" spans="1:8" x14ac:dyDescent="0.2">
      <c r="B171" s="16" t="s">
        <v>89</v>
      </c>
    </row>
    <row r="172" spans="1:8" x14ac:dyDescent="0.2">
      <c r="H172" s="16">
        <f>SUM(H173:H175)</f>
        <v>1</v>
      </c>
    </row>
    <row r="173" spans="1:8" ht="15.75" x14ac:dyDescent="0.25">
      <c r="A173" s="31" t="s">
        <v>90</v>
      </c>
      <c r="H173" s="50">
        <v>0.25</v>
      </c>
    </row>
    <row r="174" spans="1:8" x14ac:dyDescent="0.2">
      <c r="H174" s="50">
        <v>0.65</v>
      </c>
    </row>
    <row r="175" spans="1:8" x14ac:dyDescent="0.2">
      <c r="B175" s="34">
        <v>2017</v>
      </c>
      <c r="C175" s="275">
        <f>C158</f>
        <v>43646</v>
      </c>
      <c r="D175" s="275">
        <f t="shared" ref="D175:G175" si="27">D158</f>
        <v>44012</v>
      </c>
      <c r="E175" s="275">
        <f t="shared" si="27"/>
        <v>44377</v>
      </c>
      <c r="F175" s="275">
        <f t="shared" si="27"/>
        <v>44742</v>
      </c>
      <c r="G175" s="275">
        <f t="shared" si="27"/>
        <v>45107</v>
      </c>
      <c r="H175" s="50">
        <v>0.1</v>
      </c>
    </row>
    <row r="177" spans="1:7" x14ac:dyDescent="0.2">
      <c r="A177" s="71" t="s">
        <v>91</v>
      </c>
      <c r="B177" s="72">
        <f>B178*B191</f>
        <v>0</v>
      </c>
      <c r="C177" s="72">
        <f>C191</f>
        <v>89.833333333333329</v>
      </c>
      <c r="D177" s="72">
        <f>D191</f>
        <v>269.5</v>
      </c>
      <c r="E177" s="72">
        <f>E191</f>
        <v>359.33333333333331</v>
      </c>
      <c r="F177" s="72">
        <f>F191</f>
        <v>645.83749999999998</v>
      </c>
      <c r="G177" s="72">
        <f>G191</f>
        <v>645.83749999999998</v>
      </c>
    </row>
    <row r="178" spans="1:7" x14ac:dyDescent="0.2">
      <c r="A178" s="49" t="s">
        <v>92</v>
      </c>
      <c r="B178" s="73">
        <f t="shared" ref="B178:G178" si="28">$C$195</f>
        <v>6.4166666666666664E-2</v>
      </c>
      <c r="C178" s="73">
        <f t="shared" si="28"/>
        <v>6.4166666666666664E-2</v>
      </c>
      <c r="D178" s="73">
        <f t="shared" si="28"/>
        <v>6.4166666666666664E-2</v>
      </c>
      <c r="E178" s="73">
        <f t="shared" si="28"/>
        <v>6.4166666666666664E-2</v>
      </c>
      <c r="F178" s="73">
        <f t="shared" si="28"/>
        <v>6.4166666666666664E-2</v>
      </c>
      <c r="G178" s="73">
        <f t="shared" si="28"/>
        <v>6.4166666666666664E-2</v>
      </c>
    </row>
    <row r="179" spans="1:7" x14ac:dyDescent="0.2">
      <c r="A179" s="51" t="s">
        <v>46</v>
      </c>
      <c r="B179" s="74">
        <f t="shared" ref="B179:G184" si="29">B10*B$178</f>
        <v>0</v>
      </c>
      <c r="C179" s="74">
        <f t="shared" si="29"/>
        <v>89.833333333333329</v>
      </c>
      <c r="D179" s="74">
        <f t="shared" si="29"/>
        <v>269.5</v>
      </c>
      <c r="E179" s="74">
        <f t="shared" si="29"/>
        <v>359.33333333333331</v>
      </c>
      <c r="F179" s="74">
        <f t="shared" si="29"/>
        <v>359.33333333333331</v>
      </c>
      <c r="G179" s="74">
        <f t="shared" si="29"/>
        <v>359.33333333333331</v>
      </c>
    </row>
    <row r="180" spans="1:7" x14ac:dyDescent="0.2">
      <c r="A180" s="51" t="str">
        <f>A163</f>
        <v>ZAC du Manio</v>
      </c>
      <c r="B180" s="74">
        <f t="shared" si="29"/>
        <v>0</v>
      </c>
      <c r="C180" s="74">
        <f t="shared" si="29"/>
        <v>0</v>
      </c>
      <c r="D180" s="74">
        <f t="shared" si="29"/>
        <v>0</v>
      </c>
      <c r="E180" s="74">
        <f t="shared" si="29"/>
        <v>0</v>
      </c>
      <c r="F180" s="74">
        <f t="shared" si="29"/>
        <v>0</v>
      </c>
      <c r="G180" s="74">
        <f t="shared" si="29"/>
        <v>0</v>
      </c>
    </row>
    <row r="181" spans="1:7" x14ac:dyDescent="0.2">
      <c r="A181" s="51" t="str">
        <f>A164</f>
        <v>LORIENT AGGLO</v>
      </c>
      <c r="B181" s="74">
        <f t="shared" si="29"/>
        <v>0</v>
      </c>
      <c r="C181" s="74">
        <f t="shared" si="29"/>
        <v>0</v>
      </c>
      <c r="D181" s="74">
        <f t="shared" si="29"/>
        <v>0</v>
      </c>
      <c r="E181" s="74">
        <f t="shared" si="29"/>
        <v>0</v>
      </c>
      <c r="F181" s="74">
        <f t="shared" si="29"/>
        <v>0</v>
      </c>
      <c r="G181" s="74">
        <f t="shared" si="29"/>
        <v>0</v>
      </c>
    </row>
    <row r="182" spans="1:7" x14ac:dyDescent="0.2">
      <c r="A182" s="51" t="str">
        <f>+A165</f>
        <v>LOCMIQUELIC</v>
      </c>
      <c r="B182" s="74">
        <f t="shared" si="29"/>
        <v>0</v>
      </c>
      <c r="C182" s="74">
        <f t="shared" si="29"/>
        <v>0</v>
      </c>
      <c r="D182" s="74">
        <f t="shared" si="29"/>
        <v>0</v>
      </c>
      <c r="E182" s="74">
        <f t="shared" si="29"/>
        <v>0</v>
      </c>
      <c r="F182" s="74">
        <f t="shared" si="29"/>
        <v>19.25</v>
      </c>
      <c r="G182" s="74">
        <f t="shared" si="29"/>
        <v>19.25</v>
      </c>
    </row>
    <row r="183" spans="1:7" s="83" customFormat="1" x14ac:dyDescent="0.2">
      <c r="A183" s="51" t="str">
        <f>+A166</f>
        <v>LANESTER</v>
      </c>
      <c r="B183" s="74">
        <f t="shared" si="29"/>
        <v>0</v>
      </c>
      <c r="C183" s="74">
        <f t="shared" si="29"/>
        <v>0</v>
      </c>
      <c r="D183" s="74">
        <f t="shared" si="29"/>
        <v>0</v>
      </c>
      <c r="E183" s="74">
        <f t="shared" si="29"/>
        <v>0</v>
      </c>
      <c r="F183" s="74">
        <f t="shared" si="29"/>
        <v>51.333333333333329</v>
      </c>
      <c r="G183" s="74">
        <f t="shared" si="29"/>
        <v>51.333333333333329</v>
      </c>
    </row>
    <row r="184" spans="1:7" x14ac:dyDescent="0.2">
      <c r="A184" s="51" t="str">
        <f>+A167</f>
        <v>UNIVERSITE</v>
      </c>
      <c r="B184" s="74">
        <f t="shared" si="29"/>
        <v>0</v>
      </c>
      <c r="C184" s="74">
        <f t="shared" si="29"/>
        <v>0</v>
      </c>
      <c r="D184" s="74">
        <f t="shared" si="29"/>
        <v>0</v>
      </c>
      <c r="E184" s="74">
        <f t="shared" si="29"/>
        <v>0</v>
      </c>
      <c r="F184" s="74">
        <f t="shared" si="29"/>
        <v>215.92083333333332</v>
      </c>
      <c r="G184" s="74">
        <f t="shared" si="29"/>
        <v>215.92083333333332</v>
      </c>
    </row>
    <row r="185" spans="1:7" x14ac:dyDescent="0.2">
      <c r="A185" s="51" t="s">
        <v>51</v>
      </c>
      <c r="B185" s="74"/>
      <c r="C185" s="74"/>
      <c r="D185" s="74"/>
      <c r="E185" s="74">
        <f>E16*E$178</f>
        <v>0</v>
      </c>
      <c r="F185" s="74">
        <f>F16*F$178</f>
        <v>0</v>
      </c>
      <c r="G185" s="74">
        <f>G16*G$178</f>
        <v>0</v>
      </c>
    </row>
    <row r="186" spans="1:7" x14ac:dyDescent="0.2">
      <c r="A186" s="54" t="s">
        <v>60</v>
      </c>
      <c r="B186" s="75"/>
      <c r="C186" s="75"/>
      <c r="D186" s="75"/>
      <c r="E186" s="75"/>
      <c r="F186" s="75"/>
      <c r="G186" s="75"/>
    </row>
    <row r="187" spans="1:7" x14ac:dyDescent="0.2">
      <c r="A187" s="51" t="s">
        <v>93</v>
      </c>
      <c r="B187" s="51"/>
      <c r="C187" s="76">
        <f t="shared" ref="C187:G189" si="30">C$177*$H173</f>
        <v>22.458333333333332</v>
      </c>
      <c r="D187" s="76">
        <f t="shared" si="30"/>
        <v>67.375</v>
      </c>
      <c r="E187" s="76">
        <f t="shared" si="30"/>
        <v>89.833333333333329</v>
      </c>
      <c r="F187" s="76">
        <f t="shared" si="30"/>
        <v>161.45937499999999</v>
      </c>
      <c r="G187" s="76">
        <f t="shared" si="30"/>
        <v>161.45937499999999</v>
      </c>
    </row>
    <row r="188" spans="1:7" x14ac:dyDescent="0.2">
      <c r="A188" s="51" t="s">
        <v>63</v>
      </c>
      <c r="B188" s="51"/>
      <c r="C188" s="76">
        <f t="shared" si="30"/>
        <v>58.391666666666666</v>
      </c>
      <c r="D188" s="76">
        <f t="shared" si="30"/>
        <v>175.17500000000001</v>
      </c>
      <c r="E188" s="76">
        <f t="shared" si="30"/>
        <v>233.56666666666666</v>
      </c>
      <c r="F188" s="76">
        <f t="shared" si="30"/>
        <v>419.794375</v>
      </c>
      <c r="G188" s="76">
        <f t="shared" si="30"/>
        <v>419.794375</v>
      </c>
    </row>
    <row r="189" spans="1:7" x14ac:dyDescent="0.2">
      <c r="A189" s="51" t="s">
        <v>422</v>
      </c>
      <c r="B189" s="51"/>
      <c r="C189" s="76">
        <f t="shared" si="30"/>
        <v>8.9833333333333325</v>
      </c>
      <c r="D189" s="76">
        <f t="shared" si="30"/>
        <v>26.950000000000003</v>
      </c>
      <c r="E189" s="76">
        <f t="shared" si="30"/>
        <v>35.93333333333333</v>
      </c>
      <c r="F189" s="76">
        <f t="shared" si="30"/>
        <v>64.583749999999995</v>
      </c>
      <c r="G189" s="76">
        <f t="shared" si="30"/>
        <v>64.583749999999995</v>
      </c>
    </row>
    <row r="190" spans="1:7" x14ac:dyDescent="0.2">
      <c r="A190" s="51" t="s">
        <v>94</v>
      </c>
      <c r="B190" s="75"/>
      <c r="C190" s="77">
        <f>(C187*$D$202+C188*$D$204+C189*$D$206)/C177</f>
        <v>26.729220779220782</v>
      </c>
      <c r="D190" s="77">
        <f>(D187*$D$202+D188*$D$204+D189*$D$206)/D177</f>
        <v>26.729220779220778</v>
      </c>
      <c r="E190" s="77">
        <f>(E187*$D$202+E188*$D$204+E189*$D$206)/E177</f>
        <v>26.729220779220782</v>
      </c>
      <c r="F190" s="77">
        <f>(F187*$D$202+F188*$D$204+F189*$D$206)/F177</f>
        <v>26.729220779220778</v>
      </c>
      <c r="G190" s="77">
        <f>(G187*$D$202+G188*$D$204+G189*$D$206)/G177</f>
        <v>26.729220779220778</v>
      </c>
    </row>
    <row r="191" spans="1:7" x14ac:dyDescent="0.2">
      <c r="A191" s="40" t="s">
        <v>95</v>
      </c>
      <c r="B191" s="66">
        <f>SUM(B182:B184)</f>
        <v>0</v>
      </c>
      <c r="C191" s="66">
        <f>SUM(C179:C184)</f>
        <v>89.833333333333329</v>
      </c>
      <c r="D191" s="66">
        <f>SUM(D179:D184)</f>
        <v>269.5</v>
      </c>
      <c r="E191" s="66">
        <f>SUM(E179:E184)</f>
        <v>359.33333333333331</v>
      </c>
      <c r="F191" s="66">
        <f>SUM(F179:F184)</f>
        <v>645.83749999999998</v>
      </c>
      <c r="G191" s="66">
        <f>SUM(G179:G184)</f>
        <v>645.83749999999998</v>
      </c>
    </row>
    <row r="192" spans="1:7" x14ac:dyDescent="0.2">
      <c r="A192" s="40" t="s">
        <v>96</v>
      </c>
      <c r="B192" s="78"/>
      <c r="C192" s="79">
        <f>C190*C191*C193</f>
        <v>0</v>
      </c>
      <c r="D192" s="79">
        <f t="shared" ref="D192:G192" si="31">D190*D191*D193</f>
        <v>0</v>
      </c>
      <c r="E192" s="79">
        <f t="shared" si="31"/>
        <v>9604.7000000000007</v>
      </c>
      <c r="F192" s="79">
        <f t="shared" si="31"/>
        <v>17262.733124999999</v>
      </c>
      <c r="G192" s="79">
        <f t="shared" si="31"/>
        <v>17262.733124999999</v>
      </c>
    </row>
    <row r="193" spans="1:7" x14ac:dyDescent="0.2">
      <c r="A193" s="442" t="s">
        <v>444</v>
      </c>
      <c r="B193" s="78"/>
      <c r="C193" s="443">
        <v>0</v>
      </c>
      <c r="D193" s="443">
        <v>0</v>
      </c>
      <c r="E193" s="443">
        <v>1</v>
      </c>
      <c r="F193" s="443">
        <v>1</v>
      </c>
      <c r="G193" s="443">
        <v>1</v>
      </c>
    </row>
    <row r="194" spans="1:7" x14ac:dyDescent="0.2">
      <c r="B194" s="16" t="s">
        <v>97</v>
      </c>
      <c r="C194" s="16" t="s">
        <v>98</v>
      </c>
    </row>
    <row r="195" spans="1:7" x14ac:dyDescent="0.2">
      <c r="A195" s="80" t="s">
        <v>99</v>
      </c>
      <c r="B195" s="81">
        <v>0.25</v>
      </c>
      <c r="C195" s="16">
        <f>1540*B195/6000</f>
        <v>6.4166666666666664E-2</v>
      </c>
    </row>
    <row r="196" spans="1:7" x14ac:dyDescent="0.2">
      <c r="A196" s="80"/>
      <c r="B196" s="81"/>
    </row>
    <row r="197" spans="1:7" x14ac:dyDescent="0.2">
      <c r="A197" s="80"/>
      <c r="B197" s="81"/>
    </row>
    <row r="199" spans="1:7" x14ac:dyDescent="0.2">
      <c r="A199" s="42" t="s">
        <v>100</v>
      </c>
      <c r="E199" s="82">
        <v>0.15</v>
      </c>
    </row>
    <row r="200" spans="1:7" ht="38.25" x14ac:dyDescent="0.2">
      <c r="A200" s="83" t="s">
        <v>101</v>
      </c>
      <c r="B200" s="84" t="s">
        <v>102</v>
      </c>
      <c r="C200" s="84" t="s">
        <v>103</v>
      </c>
      <c r="D200" s="84" t="s">
        <v>104</v>
      </c>
      <c r="E200" s="83" t="str">
        <f>"charges de structure"</f>
        <v>charges de structure</v>
      </c>
      <c r="F200" s="84" t="s">
        <v>105</v>
      </c>
      <c r="G200" s="83"/>
    </row>
    <row r="201" spans="1:7" x14ac:dyDescent="0.2">
      <c r="A201" s="42" t="s">
        <v>106</v>
      </c>
      <c r="B201" s="85">
        <f>'[3]Personnel mis à disposition'!E4</f>
        <v>58527</v>
      </c>
      <c r="C201" s="16">
        <v>1540</v>
      </c>
      <c r="D201" s="85">
        <f>B201/C201</f>
        <v>38.004545454545458</v>
      </c>
      <c r="E201" s="85">
        <f>D201*E$199</f>
        <v>5.7006818181818186</v>
      </c>
      <c r="F201" s="85">
        <f>E201+D201</f>
        <v>43.705227272727278</v>
      </c>
    </row>
    <row r="202" spans="1:7" x14ac:dyDescent="0.2">
      <c r="A202" s="42" t="s">
        <v>107</v>
      </c>
      <c r="B202" s="85">
        <f>'[3]Personnel mis à disposition'!E7</f>
        <v>39522</v>
      </c>
      <c r="C202" s="16">
        <v>1540</v>
      </c>
      <c r="D202" s="85">
        <f t="shared" ref="D202:D208" si="32">B202/C202</f>
        <v>25.663636363636364</v>
      </c>
      <c r="E202" s="85">
        <f t="shared" ref="E202:E208" si="33">D202*E$199</f>
        <v>3.8495454545454546</v>
      </c>
      <c r="F202" s="85">
        <f t="shared" ref="F202:F208" si="34">E202+D202</f>
        <v>29.51318181818182</v>
      </c>
    </row>
    <row r="203" spans="1:7" x14ac:dyDescent="0.2">
      <c r="A203" s="42" t="s">
        <v>108</v>
      </c>
      <c r="B203" s="85">
        <f>'[3]Personnel mis à disposition'!E13</f>
        <v>35542.5</v>
      </c>
      <c r="C203" s="16">
        <v>1540</v>
      </c>
      <c r="D203" s="85">
        <f t="shared" si="32"/>
        <v>23.079545454545453</v>
      </c>
      <c r="E203" s="85">
        <f t="shared" si="33"/>
        <v>3.4619318181818177</v>
      </c>
      <c r="F203" s="85">
        <f t="shared" si="34"/>
        <v>26.541477272727271</v>
      </c>
    </row>
    <row r="204" spans="1:7" x14ac:dyDescent="0.2">
      <c r="A204" s="42" t="s">
        <v>109</v>
      </c>
      <c r="B204" s="85">
        <f>'[3]Personnel mis à disposition'!E10</f>
        <v>41704</v>
      </c>
      <c r="C204" s="16">
        <v>1540</v>
      </c>
      <c r="D204" s="85">
        <f t="shared" si="32"/>
        <v>27.080519480519481</v>
      </c>
      <c r="E204" s="85">
        <f t="shared" si="33"/>
        <v>4.062077922077922</v>
      </c>
      <c r="F204" s="85">
        <f t="shared" si="34"/>
        <v>31.142597402597403</v>
      </c>
    </row>
    <row r="205" spans="1:7" x14ac:dyDescent="0.2">
      <c r="A205" s="42" t="s">
        <v>110</v>
      </c>
      <c r="B205" s="85">
        <f>'[3]Personnel mis à disposition'!E19</f>
        <v>71016</v>
      </c>
      <c r="C205" s="16">
        <v>1540</v>
      </c>
      <c r="D205" s="85">
        <f t="shared" si="32"/>
        <v>46.114285714285714</v>
      </c>
      <c r="E205" s="85">
        <f t="shared" si="33"/>
        <v>6.9171428571428573</v>
      </c>
      <c r="F205" s="85">
        <f t="shared" si="34"/>
        <v>53.03142857142857</v>
      </c>
    </row>
    <row r="206" spans="1:7" x14ac:dyDescent="0.2">
      <c r="A206" s="42" t="s">
        <v>409</v>
      </c>
      <c r="B206" s="85">
        <f>'[3]Personnel mis à disposition'!E16</f>
        <v>41749</v>
      </c>
      <c r="C206" s="16">
        <v>1540</v>
      </c>
      <c r="D206" s="85">
        <f t="shared" si="32"/>
        <v>27.10974025974026</v>
      </c>
      <c r="E206" s="85">
        <f t="shared" si="33"/>
        <v>4.0664610389610392</v>
      </c>
      <c r="F206" s="85">
        <f t="shared" si="34"/>
        <v>31.176201298701301</v>
      </c>
    </row>
    <row r="207" spans="1:7" x14ac:dyDescent="0.2">
      <c r="A207" s="42" t="s">
        <v>111</v>
      </c>
      <c r="B207" s="85">
        <v>75000</v>
      </c>
      <c r="C207" s="16">
        <v>1607</v>
      </c>
      <c r="D207" s="85">
        <f t="shared" si="32"/>
        <v>46.670815183571875</v>
      </c>
      <c r="E207" s="85">
        <f t="shared" si="33"/>
        <v>7.0006222775357809</v>
      </c>
      <c r="F207" s="85">
        <f t="shared" si="34"/>
        <v>53.671437461107658</v>
      </c>
    </row>
    <row r="208" spans="1:7" x14ac:dyDescent="0.2">
      <c r="A208" s="16" t="s">
        <v>398</v>
      </c>
      <c r="B208" s="85">
        <v>65000</v>
      </c>
      <c r="C208" s="16">
        <v>1540</v>
      </c>
      <c r="D208" s="85">
        <f t="shared" si="32"/>
        <v>42.20779220779221</v>
      </c>
      <c r="E208" s="85">
        <f t="shared" si="33"/>
        <v>6.3311688311688314</v>
      </c>
      <c r="F208" s="85">
        <f t="shared" si="34"/>
        <v>48.538961038961041</v>
      </c>
    </row>
    <row r="209" spans="1:7" x14ac:dyDescent="0.2">
      <c r="A209" s="16" t="s">
        <v>399</v>
      </c>
      <c r="B209" s="85">
        <f>B202*1.1</f>
        <v>43474.200000000004</v>
      </c>
      <c r="C209" s="16">
        <v>1540</v>
      </c>
      <c r="D209" s="85">
        <f t="shared" ref="D209:D210" si="35">B209/C209</f>
        <v>28.230000000000004</v>
      </c>
      <c r="E209" s="85">
        <f t="shared" ref="E209:E210" si="36">D209*E$199</f>
        <v>4.2345000000000006</v>
      </c>
      <c r="F209" s="85">
        <f t="shared" ref="F209:F210" si="37">E209+D209</f>
        <v>32.464500000000001</v>
      </c>
    </row>
    <row r="210" spans="1:7" x14ac:dyDescent="0.2">
      <c r="A210" s="16" t="s">
        <v>432</v>
      </c>
      <c r="B210" s="85">
        <f>B209</f>
        <v>43474.200000000004</v>
      </c>
      <c r="C210" s="16">
        <v>1540</v>
      </c>
      <c r="D210" s="85">
        <f t="shared" si="35"/>
        <v>28.230000000000004</v>
      </c>
      <c r="E210" s="85">
        <f t="shared" si="36"/>
        <v>4.2345000000000006</v>
      </c>
      <c r="F210" s="85">
        <f t="shared" si="37"/>
        <v>32.464500000000001</v>
      </c>
    </row>
    <row r="215" spans="1:7" ht="15.75" x14ac:dyDescent="0.25">
      <c r="A215" s="31" t="s">
        <v>433</v>
      </c>
    </row>
    <row r="217" spans="1:7" x14ac:dyDescent="0.2">
      <c r="A217" s="271" t="s">
        <v>31</v>
      </c>
    </row>
    <row r="218" spans="1:7" x14ac:dyDescent="0.2">
      <c r="A218" s="35" t="s">
        <v>434</v>
      </c>
      <c r="B218" s="36"/>
      <c r="C218" s="36"/>
      <c r="D218" s="432"/>
      <c r="E218" s="432"/>
      <c r="F218" s="432"/>
      <c r="G218" s="432"/>
    </row>
    <row r="219" spans="1:7" x14ac:dyDescent="0.2">
      <c r="A219" s="37" t="s">
        <v>46</v>
      </c>
      <c r="B219" s="38"/>
      <c r="C219" s="38">
        <f t="shared" ref="C219:C225" si="38">C10+C20</f>
        <v>1600</v>
      </c>
      <c r="D219" s="38">
        <f t="shared" ref="D219:G219" si="39">D10+D20</f>
        <v>4400</v>
      </c>
      <c r="E219" s="38">
        <f t="shared" si="39"/>
        <v>6000</v>
      </c>
      <c r="F219" s="38">
        <f t="shared" si="39"/>
        <v>6000</v>
      </c>
      <c r="G219" s="38">
        <f t="shared" si="39"/>
        <v>6000</v>
      </c>
    </row>
    <row r="220" spans="1:7" x14ac:dyDescent="0.2">
      <c r="A220" s="37" t="s">
        <v>48</v>
      </c>
      <c r="B220" s="38"/>
      <c r="C220" s="38">
        <f t="shared" si="38"/>
        <v>0</v>
      </c>
      <c r="D220" s="38">
        <f t="shared" ref="D220:G225" si="40">D11+D21</f>
        <v>0</v>
      </c>
      <c r="E220" s="38">
        <f t="shared" si="40"/>
        <v>0</v>
      </c>
      <c r="F220" s="38">
        <f t="shared" si="40"/>
        <v>0</v>
      </c>
      <c r="G220" s="38">
        <f t="shared" si="40"/>
        <v>0</v>
      </c>
    </row>
    <row r="221" spans="1:7" x14ac:dyDescent="0.2">
      <c r="A221" s="37" t="s">
        <v>49</v>
      </c>
      <c r="B221" s="38"/>
      <c r="C221" s="38">
        <f t="shared" si="38"/>
        <v>0</v>
      </c>
      <c r="D221" s="38">
        <f t="shared" si="40"/>
        <v>0</v>
      </c>
      <c r="E221" s="38">
        <f t="shared" si="40"/>
        <v>0</v>
      </c>
      <c r="F221" s="38">
        <f t="shared" si="40"/>
        <v>0</v>
      </c>
      <c r="G221" s="38">
        <f t="shared" si="40"/>
        <v>0</v>
      </c>
    </row>
    <row r="222" spans="1:7" x14ac:dyDescent="0.2">
      <c r="A222" s="37" t="s">
        <v>19</v>
      </c>
      <c r="B222" s="39"/>
      <c r="C222" s="39">
        <f t="shared" si="38"/>
        <v>120</v>
      </c>
      <c r="D222" s="38">
        <f t="shared" si="40"/>
        <v>240</v>
      </c>
      <c r="E222" s="38">
        <f t="shared" si="40"/>
        <v>240</v>
      </c>
      <c r="F222" s="38">
        <f t="shared" si="40"/>
        <v>300</v>
      </c>
      <c r="G222" s="38">
        <f t="shared" si="40"/>
        <v>300</v>
      </c>
    </row>
    <row r="223" spans="1:7" x14ac:dyDescent="0.2">
      <c r="A223" s="37" t="s">
        <v>20</v>
      </c>
      <c r="B223" s="39"/>
      <c r="C223" s="39">
        <f t="shared" si="38"/>
        <v>120</v>
      </c>
      <c r="D223" s="38">
        <f t="shared" si="40"/>
        <v>800</v>
      </c>
      <c r="E223" s="38">
        <f t="shared" si="40"/>
        <v>800</v>
      </c>
      <c r="F223" s="38">
        <f t="shared" si="40"/>
        <v>800</v>
      </c>
      <c r="G223" s="38">
        <f t="shared" si="40"/>
        <v>800</v>
      </c>
    </row>
    <row r="224" spans="1:7" x14ac:dyDescent="0.2">
      <c r="A224" s="37" t="s">
        <v>50</v>
      </c>
      <c r="B224" s="38"/>
      <c r="C224" s="38">
        <f t="shared" si="38"/>
        <v>0</v>
      </c>
      <c r="D224" s="38">
        <f t="shared" si="40"/>
        <v>0</v>
      </c>
      <c r="E224" s="38">
        <f t="shared" si="40"/>
        <v>0</v>
      </c>
      <c r="F224" s="38">
        <f t="shared" si="40"/>
        <v>3365</v>
      </c>
      <c r="G224" s="38">
        <f t="shared" si="40"/>
        <v>3365</v>
      </c>
    </row>
    <row r="225" spans="1:7" x14ac:dyDescent="0.2">
      <c r="A225" s="37" t="s">
        <v>51</v>
      </c>
      <c r="B225" s="38"/>
      <c r="C225" s="38">
        <f t="shared" si="38"/>
        <v>0</v>
      </c>
      <c r="D225" s="38">
        <f t="shared" si="40"/>
        <v>0</v>
      </c>
      <c r="E225" s="38">
        <f t="shared" si="40"/>
        <v>0</v>
      </c>
      <c r="F225" s="38">
        <f t="shared" si="40"/>
        <v>0</v>
      </c>
      <c r="G225" s="38">
        <f t="shared" si="40"/>
        <v>0</v>
      </c>
    </row>
    <row r="226" spans="1:7" s="271" customFormat="1" x14ac:dyDescent="0.2">
      <c r="A226" s="40" t="s">
        <v>248</v>
      </c>
      <c r="B226" s="40"/>
      <c r="C226" s="41">
        <f>SUM(C219:C225)</f>
        <v>1840</v>
      </c>
      <c r="D226" s="41">
        <f t="shared" ref="D226:G226" si="41">SUM(D219:D225)</f>
        <v>5440</v>
      </c>
      <c r="E226" s="41">
        <f t="shared" si="41"/>
        <v>7040</v>
      </c>
      <c r="F226" s="41">
        <f t="shared" si="41"/>
        <v>10465</v>
      </c>
      <c r="G226" s="41">
        <f t="shared" si="41"/>
        <v>10465</v>
      </c>
    </row>
    <row r="228" spans="1:7" x14ac:dyDescent="0.2">
      <c r="A228" s="35" t="s">
        <v>435</v>
      </c>
      <c r="B228" s="36"/>
      <c r="C228" s="36"/>
      <c r="D228" s="432"/>
      <c r="E228" s="432"/>
      <c r="F228" s="432"/>
      <c r="G228" s="432"/>
    </row>
    <row r="229" spans="1:7" x14ac:dyDescent="0.2">
      <c r="A229" s="37" t="s">
        <v>46</v>
      </c>
      <c r="B229" s="38"/>
      <c r="C229" s="433">
        <f>C219/C$226</f>
        <v>0.86956521739130432</v>
      </c>
      <c r="D229" s="433">
        <f t="shared" ref="D229:G229" si="42">D219/D$226</f>
        <v>0.80882352941176472</v>
      </c>
      <c r="E229" s="433">
        <f t="shared" si="42"/>
        <v>0.85227272727272729</v>
      </c>
      <c r="F229" s="433">
        <f t="shared" si="42"/>
        <v>0.5733397037744864</v>
      </c>
      <c r="G229" s="433">
        <f t="shared" si="42"/>
        <v>0.5733397037744864</v>
      </c>
    </row>
    <row r="230" spans="1:7" x14ac:dyDescent="0.2">
      <c r="A230" s="37" t="s">
        <v>48</v>
      </c>
      <c r="B230" s="38"/>
      <c r="C230" s="433">
        <f t="shared" ref="C230:G230" si="43">C220/C$226</f>
        <v>0</v>
      </c>
      <c r="D230" s="433">
        <f t="shared" si="43"/>
        <v>0</v>
      </c>
      <c r="E230" s="433">
        <f t="shared" si="43"/>
        <v>0</v>
      </c>
      <c r="F230" s="433">
        <f t="shared" si="43"/>
        <v>0</v>
      </c>
      <c r="G230" s="433">
        <f t="shared" si="43"/>
        <v>0</v>
      </c>
    </row>
    <row r="231" spans="1:7" x14ac:dyDescent="0.2">
      <c r="A231" s="37" t="s">
        <v>49</v>
      </c>
      <c r="B231" s="38"/>
      <c r="C231" s="433">
        <f t="shared" ref="C231:G231" si="44">C221/C$226</f>
        <v>0</v>
      </c>
      <c r="D231" s="433">
        <f t="shared" si="44"/>
        <v>0</v>
      </c>
      <c r="E231" s="433">
        <f t="shared" si="44"/>
        <v>0</v>
      </c>
      <c r="F231" s="433">
        <f t="shared" si="44"/>
        <v>0</v>
      </c>
      <c r="G231" s="433">
        <f t="shared" si="44"/>
        <v>0</v>
      </c>
    </row>
    <row r="232" spans="1:7" x14ac:dyDescent="0.2">
      <c r="A232" s="37" t="s">
        <v>19</v>
      </c>
      <c r="B232" s="39"/>
      <c r="C232" s="433">
        <f t="shared" ref="C232:G232" si="45">C222/C$226</f>
        <v>6.5217391304347824E-2</v>
      </c>
      <c r="D232" s="433">
        <f t="shared" si="45"/>
        <v>4.4117647058823532E-2</v>
      </c>
      <c r="E232" s="433">
        <f t="shared" si="45"/>
        <v>3.4090909090909088E-2</v>
      </c>
      <c r="F232" s="433">
        <f t="shared" si="45"/>
        <v>2.866698518872432E-2</v>
      </c>
      <c r="G232" s="433">
        <f t="shared" si="45"/>
        <v>2.866698518872432E-2</v>
      </c>
    </row>
    <row r="233" spans="1:7" x14ac:dyDescent="0.2">
      <c r="A233" s="37" t="s">
        <v>20</v>
      </c>
      <c r="B233" s="39"/>
      <c r="C233" s="433">
        <f t="shared" ref="C233:G233" si="46">C223/C$226</f>
        <v>6.5217391304347824E-2</v>
      </c>
      <c r="D233" s="433">
        <f t="shared" si="46"/>
        <v>0.14705882352941177</v>
      </c>
      <c r="E233" s="433">
        <f t="shared" si="46"/>
        <v>0.11363636363636363</v>
      </c>
      <c r="F233" s="433">
        <f t="shared" si="46"/>
        <v>7.6445293836598191E-2</v>
      </c>
      <c r="G233" s="433">
        <f t="shared" si="46"/>
        <v>7.6445293836598191E-2</v>
      </c>
    </row>
    <row r="234" spans="1:7" x14ac:dyDescent="0.2">
      <c r="A234" s="37" t="s">
        <v>50</v>
      </c>
      <c r="B234" s="38"/>
      <c r="C234" s="433">
        <f t="shared" ref="C234:G234" si="47">C224/C$226</f>
        <v>0</v>
      </c>
      <c r="D234" s="433">
        <f t="shared" si="47"/>
        <v>0</v>
      </c>
      <c r="E234" s="433">
        <f t="shared" si="47"/>
        <v>0</v>
      </c>
      <c r="F234" s="433">
        <f t="shared" si="47"/>
        <v>0.32154801720019111</v>
      </c>
      <c r="G234" s="433">
        <f t="shared" si="47"/>
        <v>0.32154801720019111</v>
      </c>
    </row>
    <row r="235" spans="1:7" x14ac:dyDescent="0.2">
      <c r="A235" s="37" t="s">
        <v>51</v>
      </c>
      <c r="B235" s="38"/>
      <c r="C235" s="433">
        <f t="shared" ref="C235:G235" si="48">C225/C$226</f>
        <v>0</v>
      </c>
      <c r="D235" s="433">
        <f t="shared" si="48"/>
        <v>0</v>
      </c>
      <c r="E235" s="433">
        <f t="shared" si="48"/>
        <v>0</v>
      </c>
      <c r="F235" s="433">
        <f t="shared" si="48"/>
        <v>0</v>
      </c>
      <c r="G235" s="433">
        <f t="shared" si="48"/>
        <v>0</v>
      </c>
    </row>
    <row r="236" spans="1:7" x14ac:dyDescent="0.2">
      <c r="A236" s="40" t="s">
        <v>439</v>
      </c>
      <c r="B236" s="40"/>
      <c r="C236" s="41">
        <f>SUM(C229:C235)</f>
        <v>0.99999999999999989</v>
      </c>
      <c r="D236" s="41">
        <f t="shared" ref="D236:G236" si="49">SUM(D229:D235)</f>
        <v>1</v>
      </c>
      <c r="E236" s="41">
        <f t="shared" si="49"/>
        <v>1</v>
      </c>
      <c r="F236" s="41">
        <f t="shared" si="49"/>
        <v>1</v>
      </c>
      <c r="G236" s="41">
        <f t="shared" si="49"/>
        <v>1</v>
      </c>
    </row>
    <row r="238" spans="1:7" x14ac:dyDescent="0.2">
      <c r="A238" s="271" t="s">
        <v>437</v>
      </c>
    </row>
    <row r="240" spans="1:7" x14ac:dyDescent="0.2">
      <c r="A240" s="35" t="str">
        <f>A9</f>
        <v>BOIS produit SPL  (en MWh pci/an)</v>
      </c>
      <c r="B240" s="36" t="str">
        <f t="shared" ref="B240:G240" si="50">B9</f>
        <v>coût €/MWh (livré chaufferie)</v>
      </c>
      <c r="C240" s="36">
        <f t="shared" si="50"/>
        <v>23</v>
      </c>
      <c r="D240" s="432">
        <f t="shared" si="50"/>
        <v>23.23</v>
      </c>
      <c r="E240" s="432">
        <f t="shared" si="50"/>
        <v>23.462299999999999</v>
      </c>
      <c r="F240" s="432">
        <f t="shared" si="50"/>
        <v>23.696922999999998</v>
      </c>
      <c r="G240" s="432">
        <f t="shared" si="50"/>
        <v>23.933892229999998</v>
      </c>
    </row>
    <row r="241" spans="1:7" x14ac:dyDescent="0.2">
      <c r="A241" s="37" t="str">
        <f t="shared" ref="A241:G247" si="51">A10</f>
        <v>Ville de Lorient</v>
      </c>
      <c r="B241" s="38">
        <f t="shared" si="51"/>
        <v>0</v>
      </c>
      <c r="C241" s="38">
        <f t="shared" si="51"/>
        <v>1400</v>
      </c>
      <c r="D241" s="38">
        <f t="shared" si="51"/>
        <v>4200</v>
      </c>
      <c r="E241" s="38">
        <f t="shared" si="51"/>
        <v>5600</v>
      </c>
      <c r="F241" s="38">
        <f t="shared" si="51"/>
        <v>5600</v>
      </c>
      <c r="G241" s="38">
        <f t="shared" si="51"/>
        <v>5600</v>
      </c>
    </row>
    <row r="242" spans="1:7" x14ac:dyDescent="0.2">
      <c r="A242" s="37" t="str">
        <f t="shared" si="51"/>
        <v>ZAC du Manio</v>
      </c>
      <c r="B242" s="38">
        <f t="shared" si="51"/>
        <v>0</v>
      </c>
      <c r="C242" s="38">
        <f t="shared" si="51"/>
        <v>0</v>
      </c>
      <c r="D242" s="38">
        <f t="shared" si="51"/>
        <v>0</v>
      </c>
      <c r="E242" s="38">
        <f t="shared" si="51"/>
        <v>0</v>
      </c>
      <c r="F242" s="38">
        <f t="shared" si="51"/>
        <v>0</v>
      </c>
      <c r="G242" s="38">
        <f t="shared" si="51"/>
        <v>0</v>
      </c>
    </row>
    <row r="243" spans="1:7" x14ac:dyDescent="0.2">
      <c r="A243" s="37" t="str">
        <f t="shared" si="51"/>
        <v>LORIENT AGGLO</v>
      </c>
      <c r="B243" s="38">
        <f t="shared" si="51"/>
        <v>0</v>
      </c>
      <c r="C243" s="38">
        <f t="shared" si="51"/>
        <v>0</v>
      </c>
      <c r="D243" s="38">
        <f t="shared" si="51"/>
        <v>0</v>
      </c>
      <c r="E243" s="38">
        <f t="shared" si="51"/>
        <v>0</v>
      </c>
      <c r="F243" s="38">
        <f t="shared" si="51"/>
        <v>0</v>
      </c>
      <c r="G243" s="38">
        <f t="shared" si="51"/>
        <v>0</v>
      </c>
    </row>
    <row r="244" spans="1:7" x14ac:dyDescent="0.2">
      <c r="A244" s="37" t="str">
        <f t="shared" si="51"/>
        <v>LOCMIQUELIC</v>
      </c>
      <c r="B244" s="39">
        <f t="shared" si="51"/>
        <v>0</v>
      </c>
      <c r="C244" s="39">
        <f t="shared" si="51"/>
        <v>0</v>
      </c>
      <c r="D244" s="38">
        <f t="shared" si="51"/>
        <v>0</v>
      </c>
      <c r="E244" s="38">
        <f t="shared" si="51"/>
        <v>0</v>
      </c>
      <c r="F244" s="38">
        <f t="shared" si="51"/>
        <v>300</v>
      </c>
      <c r="G244" s="38">
        <f t="shared" si="51"/>
        <v>300</v>
      </c>
    </row>
    <row r="245" spans="1:7" x14ac:dyDescent="0.2">
      <c r="A245" s="37" t="str">
        <f t="shared" si="51"/>
        <v>LANESTER</v>
      </c>
      <c r="B245" s="39">
        <f t="shared" si="51"/>
        <v>0</v>
      </c>
      <c r="C245" s="39">
        <f t="shared" si="51"/>
        <v>0</v>
      </c>
      <c r="D245" s="38">
        <f t="shared" si="51"/>
        <v>0</v>
      </c>
      <c r="E245" s="38">
        <f t="shared" si="51"/>
        <v>0</v>
      </c>
      <c r="F245" s="38">
        <f t="shared" si="51"/>
        <v>800</v>
      </c>
      <c r="G245" s="38">
        <f t="shared" si="51"/>
        <v>800</v>
      </c>
    </row>
    <row r="246" spans="1:7" x14ac:dyDescent="0.2">
      <c r="A246" s="37" t="str">
        <f t="shared" si="51"/>
        <v>UNIVERSITE</v>
      </c>
      <c r="B246" s="38">
        <f t="shared" si="51"/>
        <v>0</v>
      </c>
      <c r="C246" s="38">
        <f t="shared" si="51"/>
        <v>0</v>
      </c>
      <c r="D246" s="38">
        <f t="shared" si="51"/>
        <v>0</v>
      </c>
      <c r="E246" s="38">
        <f t="shared" si="51"/>
        <v>0</v>
      </c>
      <c r="F246" s="38">
        <f t="shared" si="51"/>
        <v>3365</v>
      </c>
      <c r="G246" s="38">
        <f t="shared" si="51"/>
        <v>3365</v>
      </c>
    </row>
    <row r="247" spans="1:7" x14ac:dyDescent="0.2">
      <c r="A247" s="37" t="str">
        <f t="shared" si="51"/>
        <v>Autre projet</v>
      </c>
      <c r="B247" s="38">
        <f t="shared" si="51"/>
        <v>0</v>
      </c>
      <c r="C247" s="38">
        <f t="shared" si="51"/>
        <v>0</v>
      </c>
      <c r="D247" s="38">
        <f t="shared" si="51"/>
        <v>0</v>
      </c>
      <c r="E247" s="38">
        <f t="shared" si="51"/>
        <v>0</v>
      </c>
      <c r="F247" s="38">
        <f t="shared" si="51"/>
        <v>0</v>
      </c>
      <c r="G247" s="38">
        <f t="shared" si="51"/>
        <v>0</v>
      </c>
    </row>
    <row r="248" spans="1:7" x14ac:dyDescent="0.2">
      <c r="A248" s="40" t="str">
        <f>A17</f>
        <v>Total - Bois</v>
      </c>
      <c r="B248" s="40">
        <f t="shared" ref="B248:G248" si="52">B17</f>
        <v>0</v>
      </c>
      <c r="C248" s="41">
        <f t="shared" si="52"/>
        <v>1400</v>
      </c>
      <c r="D248" s="41">
        <f t="shared" si="52"/>
        <v>4200</v>
      </c>
      <c r="E248" s="41">
        <f t="shared" si="52"/>
        <v>5600</v>
      </c>
      <c r="F248" s="41">
        <f t="shared" si="52"/>
        <v>10065</v>
      </c>
      <c r="G248" s="41">
        <f t="shared" si="52"/>
        <v>10065</v>
      </c>
    </row>
    <row r="250" spans="1:7" x14ac:dyDescent="0.2">
      <c r="A250" s="35" t="s">
        <v>436</v>
      </c>
      <c r="B250" s="36"/>
      <c r="C250" s="36"/>
      <c r="D250" s="432"/>
      <c r="E250" s="432"/>
      <c r="F250" s="432"/>
      <c r="G250" s="432"/>
    </row>
    <row r="251" spans="1:7" x14ac:dyDescent="0.2">
      <c r="A251" s="37" t="str">
        <f t="shared" ref="A251:B251" si="53">A20</f>
        <v>Ville de Lorient</v>
      </c>
      <c r="B251" s="38">
        <f t="shared" si="53"/>
        <v>0</v>
      </c>
      <c r="C251" s="433">
        <f>C241/C$248</f>
        <v>1</v>
      </c>
      <c r="D251" s="433">
        <f t="shared" ref="D251:G251" si="54">D241/D$248</f>
        <v>1</v>
      </c>
      <c r="E251" s="433">
        <f t="shared" si="54"/>
        <v>1</v>
      </c>
      <c r="F251" s="433">
        <f t="shared" si="54"/>
        <v>0.55638350720317931</v>
      </c>
      <c r="G251" s="433">
        <f t="shared" si="54"/>
        <v>0.55638350720317931</v>
      </c>
    </row>
    <row r="252" spans="1:7" x14ac:dyDescent="0.2">
      <c r="A252" s="37" t="str">
        <f t="shared" ref="A252:B252" si="55">A21</f>
        <v>ZAC du Manio</v>
      </c>
      <c r="B252" s="38">
        <f t="shared" si="55"/>
        <v>0</v>
      </c>
      <c r="C252" s="433">
        <f t="shared" ref="C252:G257" si="56">C242/C$248</f>
        <v>0</v>
      </c>
      <c r="D252" s="433">
        <f t="shared" si="56"/>
        <v>0</v>
      </c>
      <c r="E252" s="433">
        <f t="shared" si="56"/>
        <v>0</v>
      </c>
      <c r="F252" s="433">
        <f t="shared" si="56"/>
        <v>0</v>
      </c>
      <c r="G252" s="433">
        <f t="shared" si="56"/>
        <v>0</v>
      </c>
    </row>
    <row r="253" spans="1:7" x14ac:dyDescent="0.2">
      <c r="A253" s="37" t="str">
        <f t="shared" ref="A253:B253" si="57">A22</f>
        <v>LORIENT AGGLO</v>
      </c>
      <c r="B253" s="38">
        <f t="shared" si="57"/>
        <v>0</v>
      </c>
      <c r="C253" s="433">
        <f t="shared" si="56"/>
        <v>0</v>
      </c>
      <c r="D253" s="433">
        <f t="shared" si="56"/>
        <v>0</v>
      </c>
      <c r="E253" s="433">
        <f t="shared" si="56"/>
        <v>0</v>
      </c>
      <c r="F253" s="433">
        <f t="shared" si="56"/>
        <v>0</v>
      </c>
      <c r="G253" s="433">
        <f t="shared" si="56"/>
        <v>0</v>
      </c>
    </row>
    <row r="254" spans="1:7" x14ac:dyDescent="0.2">
      <c r="A254" s="37" t="str">
        <f t="shared" ref="A254:B254" si="58">A23</f>
        <v>LOCMIQUELIC</v>
      </c>
      <c r="B254" s="39">
        <f t="shared" si="58"/>
        <v>0</v>
      </c>
      <c r="C254" s="433">
        <f t="shared" si="56"/>
        <v>0</v>
      </c>
      <c r="D254" s="433">
        <f t="shared" si="56"/>
        <v>0</v>
      </c>
      <c r="E254" s="433">
        <f t="shared" si="56"/>
        <v>0</v>
      </c>
      <c r="F254" s="433">
        <f t="shared" si="56"/>
        <v>2.9806259314456036E-2</v>
      </c>
      <c r="G254" s="433">
        <f t="shared" si="56"/>
        <v>2.9806259314456036E-2</v>
      </c>
    </row>
    <row r="255" spans="1:7" x14ac:dyDescent="0.2">
      <c r="A255" s="37" t="str">
        <f t="shared" ref="A255:B255" si="59">A24</f>
        <v>LANESTER</v>
      </c>
      <c r="B255" s="39">
        <f t="shared" si="59"/>
        <v>0</v>
      </c>
      <c r="C255" s="433">
        <f t="shared" si="56"/>
        <v>0</v>
      </c>
      <c r="D255" s="433">
        <f t="shared" si="56"/>
        <v>0</v>
      </c>
      <c r="E255" s="433">
        <f t="shared" si="56"/>
        <v>0</v>
      </c>
      <c r="F255" s="433">
        <f t="shared" si="56"/>
        <v>7.9483358171882762E-2</v>
      </c>
      <c r="G255" s="433">
        <f t="shared" si="56"/>
        <v>7.9483358171882762E-2</v>
      </c>
    </row>
    <row r="256" spans="1:7" x14ac:dyDescent="0.2">
      <c r="A256" s="37" t="str">
        <f t="shared" ref="A256:B256" si="60">A25</f>
        <v>UNIVERSITE</v>
      </c>
      <c r="B256" s="38">
        <f t="shared" si="60"/>
        <v>0</v>
      </c>
      <c r="C256" s="433">
        <f t="shared" si="56"/>
        <v>0</v>
      </c>
      <c r="D256" s="433">
        <f t="shared" si="56"/>
        <v>0</v>
      </c>
      <c r="E256" s="433">
        <f t="shared" si="56"/>
        <v>0</v>
      </c>
      <c r="F256" s="433">
        <f t="shared" si="56"/>
        <v>0.33432687531048189</v>
      </c>
      <c r="G256" s="433">
        <f t="shared" si="56"/>
        <v>0.33432687531048189</v>
      </c>
    </row>
    <row r="257" spans="1:7" x14ac:dyDescent="0.2">
      <c r="A257" s="37" t="str">
        <f t="shared" ref="A257:B257" si="61">A26</f>
        <v>Autre projet</v>
      </c>
      <c r="B257" s="38">
        <f t="shared" si="61"/>
        <v>0</v>
      </c>
      <c r="C257" s="433">
        <f t="shared" si="56"/>
        <v>0</v>
      </c>
      <c r="D257" s="433">
        <f t="shared" si="56"/>
        <v>0</v>
      </c>
      <c r="E257" s="433">
        <f t="shared" si="56"/>
        <v>0</v>
      </c>
      <c r="F257" s="433">
        <f t="shared" si="56"/>
        <v>0</v>
      </c>
      <c r="G257" s="433">
        <f t="shared" si="56"/>
        <v>0</v>
      </c>
    </row>
    <row r="258" spans="1:7" x14ac:dyDescent="0.2">
      <c r="A258" s="40" t="s">
        <v>438</v>
      </c>
      <c r="B258" s="40"/>
      <c r="C258" s="41">
        <f>SUM(C251:C257)</f>
        <v>1</v>
      </c>
      <c r="D258" s="41">
        <f t="shared" ref="D258:G258" si="62">SUM(D251:D257)</f>
        <v>1</v>
      </c>
      <c r="E258" s="41">
        <f t="shared" si="62"/>
        <v>1</v>
      </c>
      <c r="F258" s="41">
        <f t="shared" si="62"/>
        <v>1</v>
      </c>
      <c r="G258" s="41">
        <f t="shared" si="62"/>
        <v>1</v>
      </c>
    </row>
  </sheetData>
  <mergeCells count="1">
    <mergeCell ref="A1:I1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3" topLeftCell="A4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22.85546875" customWidth="1"/>
    <col min="2" max="2" width="11.42578125" customWidth="1"/>
    <col min="3" max="6" width="11.85546875" style="4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58" t="s">
        <v>28</v>
      </c>
      <c r="B4" s="558"/>
      <c r="C4" s="11"/>
      <c r="D4" s="11"/>
      <c r="E4" s="11"/>
      <c r="F4" s="11"/>
      <c r="G4" s="12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t="s">
        <v>3</v>
      </c>
      <c r="G6"/>
    </row>
    <row r="7" spans="1:7" s="4" customFormat="1" x14ac:dyDescent="0.25">
      <c r="A7" t="s">
        <v>4</v>
      </c>
      <c r="B7" t="s">
        <v>5</v>
      </c>
      <c r="G7"/>
    </row>
    <row r="8" spans="1:7" s="4" customFormat="1" x14ac:dyDescent="0.25">
      <c r="A8"/>
      <c r="B8"/>
      <c r="G8"/>
    </row>
    <row r="9" spans="1:7" s="4" customFormat="1" x14ac:dyDescent="0.25">
      <c r="A9" t="s">
        <v>2</v>
      </c>
      <c r="B9" s="2" t="s">
        <v>13</v>
      </c>
      <c r="G9"/>
    </row>
    <row r="10" spans="1:7" s="4" customFormat="1" x14ac:dyDescent="0.25">
      <c r="A10" t="s">
        <v>4</v>
      </c>
      <c r="B10" s="2" t="s">
        <v>13</v>
      </c>
      <c r="G10"/>
    </row>
    <row r="12" spans="1:7" s="4" customFormat="1" x14ac:dyDescent="0.25">
      <c r="A12" s="7" t="s">
        <v>7</v>
      </c>
      <c r="B12"/>
      <c r="G12"/>
    </row>
    <row r="13" spans="1:7" s="4" customFormat="1" x14ac:dyDescent="0.25">
      <c r="A13" s="6" t="s">
        <v>8</v>
      </c>
      <c r="B13" t="s">
        <v>9</v>
      </c>
      <c r="G13"/>
    </row>
    <row r="14" spans="1:7" s="4" customFormat="1" x14ac:dyDescent="0.25">
      <c r="A14" s="3" t="s">
        <v>10</v>
      </c>
      <c r="B14"/>
      <c r="G14"/>
    </row>
    <row r="15" spans="1:7" s="4" customFormat="1" x14ac:dyDescent="0.25">
      <c r="A15" s="3" t="s">
        <v>260</v>
      </c>
      <c r="B15"/>
      <c r="G15"/>
    </row>
    <row r="16" spans="1:7" s="4" customFormat="1" x14ac:dyDescent="0.25">
      <c r="A16" s="3" t="s">
        <v>12</v>
      </c>
      <c r="B16"/>
      <c r="G16"/>
    </row>
    <row r="18" spans="1:7" s="4" customFormat="1" x14ac:dyDescent="0.25">
      <c r="A18" s="6" t="s">
        <v>8</v>
      </c>
      <c r="B18" s="2" t="s">
        <v>13</v>
      </c>
      <c r="G18"/>
    </row>
    <row r="19" spans="1:7" s="4" customFormat="1" x14ac:dyDescent="0.25">
      <c r="A19" s="3" t="s">
        <v>10</v>
      </c>
      <c r="B19"/>
      <c r="G19"/>
    </row>
    <row r="20" spans="1:7" s="4" customFormat="1" x14ac:dyDescent="0.25">
      <c r="A20" s="3" t="s">
        <v>11</v>
      </c>
      <c r="B20"/>
      <c r="G20"/>
    </row>
    <row r="22" spans="1:7" s="4" customFormat="1" x14ac:dyDescent="0.25">
      <c r="A22" s="6" t="s">
        <v>14</v>
      </c>
      <c r="B22" s="2" t="s">
        <v>13</v>
      </c>
      <c r="G22"/>
    </row>
    <row r="24" spans="1:7" s="4" customFormat="1" x14ac:dyDescent="0.25">
      <c r="A24" s="7" t="s">
        <v>15</v>
      </c>
      <c r="B24"/>
      <c r="G24"/>
    </row>
    <row r="25" spans="1:7" s="4" customFormat="1" x14ac:dyDescent="0.25">
      <c r="A25" t="s">
        <v>16</v>
      </c>
      <c r="B25" s="2" t="s">
        <v>13</v>
      </c>
      <c r="G25"/>
    </row>
    <row r="27" spans="1:7" s="4" customFormat="1" x14ac:dyDescent="0.25">
      <c r="A27" s="7" t="s">
        <v>17</v>
      </c>
      <c r="B27" s="2" t="s">
        <v>13</v>
      </c>
      <c r="G27"/>
    </row>
    <row r="29" spans="1:7" s="4" customFormat="1" x14ac:dyDescent="0.25">
      <c r="A29" s="7" t="s">
        <v>18</v>
      </c>
      <c r="B29" s="2" t="s">
        <v>13</v>
      </c>
      <c r="G29"/>
    </row>
    <row r="31" spans="1:7" x14ac:dyDescent="0.25">
      <c r="A31" s="7" t="s">
        <v>31</v>
      </c>
      <c r="B31" s="2" t="s">
        <v>13</v>
      </c>
    </row>
    <row r="32" spans="1:7" x14ac:dyDescent="0.25">
      <c r="A32" s="559" t="s">
        <v>21</v>
      </c>
      <c r="B32" s="559"/>
      <c r="C32" s="279">
        <f>C9+C10+C19+C20+C22+C25+C27+C29+C31</f>
        <v>0</v>
      </c>
      <c r="D32" s="279">
        <f t="shared" ref="D32:G32" si="0">D9+D10+D19+D20+D22+D25+D27+D29+D31</f>
        <v>0</v>
      </c>
      <c r="E32" s="279">
        <f t="shared" si="0"/>
        <v>0</v>
      </c>
      <c r="F32" s="279">
        <f t="shared" si="0"/>
        <v>0</v>
      </c>
      <c r="G32" s="279">
        <f t="shared" si="0"/>
        <v>0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3" topLeftCell="A4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22.85546875" customWidth="1"/>
    <col min="2" max="2" width="11.42578125" customWidth="1"/>
    <col min="3" max="6" width="11.85546875" style="4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58" t="s">
        <v>27</v>
      </c>
      <c r="B4" s="558"/>
      <c r="C4" s="11"/>
      <c r="D4" s="11"/>
      <c r="E4" s="11"/>
      <c r="F4" s="11"/>
      <c r="G4" s="12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t="s">
        <v>3</v>
      </c>
      <c r="G6"/>
    </row>
    <row r="7" spans="1:7" s="4" customFormat="1" x14ac:dyDescent="0.25">
      <c r="A7" t="s">
        <v>4</v>
      </c>
      <c r="B7" t="s">
        <v>5</v>
      </c>
      <c r="G7"/>
    </row>
    <row r="8" spans="1:7" s="4" customFormat="1" x14ac:dyDescent="0.25">
      <c r="A8"/>
      <c r="B8"/>
      <c r="G8"/>
    </row>
    <row r="9" spans="1:7" s="4" customFormat="1" x14ac:dyDescent="0.25">
      <c r="A9" t="s">
        <v>2</v>
      </c>
      <c r="B9" s="2" t="s">
        <v>13</v>
      </c>
      <c r="G9"/>
    </row>
    <row r="10" spans="1:7" s="4" customFormat="1" x14ac:dyDescent="0.25">
      <c r="A10" t="s">
        <v>4</v>
      </c>
      <c r="B10" s="2" t="s">
        <v>13</v>
      </c>
      <c r="G10"/>
    </row>
    <row r="12" spans="1:7" s="4" customFormat="1" x14ac:dyDescent="0.25">
      <c r="A12" s="7" t="s">
        <v>7</v>
      </c>
      <c r="B12"/>
      <c r="G12"/>
    </row>
    <row r="13" spans="1:7" s="4" customFormat="1" x14ac:dyDescent="0.25">
      <c r="A13" s="6" t="s">
        <v>8</v>
      </c>
      <c r="B13" t="s">
        <v>9</v>
      </c>
      <c r="G13"/>
    </row>
    <row r="14" spans="1:7" s="4" customFormat="1" x14ac:dyDescent="0.25">
      <c r="A14" s="3" t="s">
        <v>10</v>
      </c>
      <c r="B14"/>
      <c r="G14"/>
    </row>
    <row r="15" spans="1:7" s="4" customFormat="1" x14ac:dyDescent="0.25">
      <c r="A15" s="3" t="s">
        <v>260</v>
      </c>
      <c r="B15"/>
      <c r="G15"/>
    </row>
    <row r="16" spans="1:7" s="4" customFormat="1" x14ac:dyDescent="0.25">
      <c r="A16" s="3" t="s">
        <v>12</v>
      </c>
      <c r="B16"/>
      <c r="G16"/>
    </row>
    <row r="18" spans="1:7" s="4" customFormat="1" x14ac:dyDescent="0.25">
      <c r="A18" s="6" t="s">
        <v>8</v>
      </c>
      <c r="B18" s="2" t="s">
        <v>13</v>
      </c>
      <c r="G18"/>
    </row>
    <row r="19" spans="1:7" s="4" customFormat="1" x14ac:dyDescent="0.25">
      <c r="A19" s="3" t="s">
        <v>10</v>
      </c>
      <c r="B19"/>
      <c r="G19"/>
    </row>
    <row r="20" spans="1:7" s="4" customFormat="1" x14ac:dyDescent="0.25">
      <c r="A20" s="3" t="s">
        <v>11</v>
      </c>
      <c r="B20"/>
      <c r="G20"/>
    </row>
    <row r="22" spans="1:7" s="4" customFormat="1" x14ac:dyDescent="0.25">
      <c r="A22" s="6" t="s">
        <v>14</v>
      </c>
      <c r="B22" s="2" t="s">
        <v>13</v>
      </c>
      <c r="G22"/>
    </row>
    <row r="24" spans="1:7" s="4" customFormat="1" x14ac:dyDescent="0.25">
      <c r="A24" s="7" t="s">
        <v>15</v>
      </c>
      <c r="B24"/>
      <c r="G24"/>
    </row>
    <row r="25" spans="1:7" s="4" customFormat="1" x14ac:dyDescent="0.25">
      <c r="A25" t="s">
        <v>16</v>
      </c>
      <c r="B25" s="2" t="s">
        <v>13</v>
      </c>
      <c r="G25"/>
    </row>
    <row r="27" spans="1:7" s="4" customFormat="1" x14ac:dyDescent="0.25">
      <c r="A27" s="7" t="s">
        <v>17</v>
      </c>
      <c r="B27" s="2" t="s">
        <v>13</v>
      </c>
      <c r="G27"/>
    </row>
    <row r="29" spans="1:7" s="4" customFormat="1" x14ac:dyDescent="0.25">
      <c r="A29" s="7" t="s">
        <v>18</v>
      </c>
      <c r="B29" s="2" t="s">
        <v>13</v>
      </c>
      <c r="G29"/>
    </row>
    <row r="31" spans="1:7" x14ac:dyDescent="0.25">
      <c r="A31" s="7" t="s">
        <v>31</v>
      </c>
      <c r="B31" s="2" t="s">
        <v>13</v>
      </c>
    </row>
    <row r="32" spans="1:7" x14ac:dyDescent="0.25">
      <c r="A32" s="564" t="s">
        <v>21</v>
      </c>
      <c r="B32" s="564"/>
      <c r="C32" s="279">
        <f>C9+C10+C19+C20+C22+C25+C27+C29+C31</f>
        <v>0</v>
      </c>
      <c r="D32" s="279">
        <f t="shared" ref="D32:G32" si="0">D9+D10+D19+D20+D22+D25+D27+D29+D31</f>
        <v>0</v>
      </c>
      <c r="E32" s="279">
        <f t="shared" si="0"/>
        <v>0</v>
      </c>
      <c r="F32" s="279">
        <f t="shared" si="0"/>
        <v>0</v>
      </c>
      <c r="G32" s="279">
        <f t="shared" si="0"/>
        <v>0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3" topLeftCell="A13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22.85546875" customWidth="1"/>
    <col min="2" max="2" width="11.42578125" customWidth="1"/>
    <col min="3" max="6" width="11.85546875" style="4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58" t="s">
        <v>26</v>
      </c>
      <c r="B4" s="558"/>
      <c r="C4" s="11"/>
      <c r="D4" s="11"/>
      <c r="E4" s="11"/>
      <c r="F4" s="11"/>
      <c r="G4" s="12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t="s">
        <v>3</v>
      </c>
      <c r="G6"/>
    </row>
    <row r="7" spans="1:7" s="4" customFormat="1" x14ac:dyDescent="0.25">
      <c r="A7" t="s">
        <v>4</v>
      </c>
      <c r="B7" t="s">
        <v>5</v>
      </c>
      <c r="G7"/>
    </row>
    <row r="8" spans="1:7" s="4" customFormat="1" x14ac:dyDescent="0.25">
      <c r="A8"/>
      <c r="B8"/>
      <c r="G8"/>
    </row>
    <row r="9" spans="1:7" s="4" customFormat="1" x14ac:dyDescent="0.25">
      <c r="A9" t="s">
        <v>2</v>
      </c>
      <c r="B9" s="2" t="s">
        <v>13</v>
      </c>
      <c r="G9"/>
    </row>
    <row r="10" spans="1:7" s="4" customFormat="1" x14ac:dyDescent="0.25">
      <c r="A10" t="s">
        <v>4</v>
      </c>
      <c r="B10" s="2" t="s">
        <v>13</v>
      </c>
      <c r="G10"/>
    </row>
    <row r="12" spans="1:7" s="4" customFormat="1" x14ac:dyDescent="0.25">
      <c r="A12" s="7" t="s">
        <v>7</v>
      </c>
      <c r="B12"/>
      <c r="G12"/>
    </row>
    <row r="13" spans="1:7" s="4" customFormat="1" x14ac:dyDescent="0.25">
      <c r="A13" s="6" t="s">
        <v>8</v>
      </c>
      <c r="B13" t="s">
        <v>9</v>
      </c>
      <c r="G13"/>
    </row>
    <row r="14" spans="1:7" s="4" customFormat="1" x14ac:dyDescent="0.25">
      <c r="A14" s="3" t="s">
        <v>10</v>
      </c>
      <c r="B14"/>
      <c r="G14"/>
    </row>
    <row r="15" spans="1:7" s="4" customFormat="1" x14ac:dyDescent="0.25">
      <c r="A15" s="3" t="s">
        <v>260</v>
      </c>
      <c r="B15"/>
      <c r="G15"/>
    </row>
    <row r="16" spans="1:7" s="4" customFormat="1" x14ac:dyDescent="0.25">
      <c r="A16" s="3" t="s">
        <v>12</v>
      </c>
      <c r="B16"/>
      <c r="G16"/>
    </row>
    <row r="18" spans="1:7" s="4" customFormat="1" x14ac:dyDescent="0.25">
      <c r="A18" s="6" t="s">
        <v>8</v>
      </c>
      <c r="B18" s="2" t="s">
        <v>13</v>
      </c>
      <c r="G18"/>
    </row>
    <row r="19" spans="1:7" s="4" customFormat="1" x14ac:dyDescent="0.25">
      <c r="A19" s="3" t="s">
        <v>10</v>
      </c>
      <c r="B19"/>
      <c r="G19"/>
    </row>
    <row r="20" spans="1:7" s="4" customFormat="1" x14ac:dyDescent="0.25">
      <c r="A20" s="3" t="s">
        <v>11</v>
      </c>
      <c r="B20"/>
      <c r="G20"/>
    </row>
    <row r="22" spans="1:7" s="4" customFormat="1" x14ac:dyDescent="0.25">
      <c r="A22" s="6" t="s">
        <v>14</v>
      </c>
      <c r="B22" s="2" t="s">
        <v>13</v>
      </c>
      <c r="G22"/>
    </row>
    <row r="24" spans="1:7" s="4" customFormat="1" x14ac:dyDescent="0.25">
      <c r="A24" s="7" t="s">
        <v>15</v>
      </c>
      <c r="B24"/>
      <c r="G24"/>
    </row>
    <row r="25" spans="1:7" s="4" customFormat="1" x14ac:dyDescent="0.25">
      <c r="A25" t="s">
        <v>16</v>
      </c>
      <c r="B25" s="2" t="s">
        <v>13</v>
      </c>
      <c r="G25"/>
    </row>
    <row r="27" spans="1:7" s="4" customFormat="1" x14ac:dyDescent="0.25">
      <c r="A27" s="7" t="s">
        <v>17</v>
      </c>
      <c r="B27" s="2" t="s">
        <v>13</v>
      </c>
      <c r="G27"/>
    </row>
    <row r="29" spans="1:7" s="4" customFormat="1" x14ac:dyDescent="0.25">
      <c r="A29" s="7" t="s">
        <v>18</v>
      </c>
      <c r="B29" s="2" t="s">
        <v>13</v>
      </c>
      <c r="G29"/>
    </row>
    <row r="31" spans="1:7" x14ac:dyDescent="0.25">
      <c r="A31" s="7" t="s">
        <v>31</v>
      </c>
      <c r="B31" s="2" t="s">
        <v>13</v>
      </c>
    </row>
    <row r="32" spans="1:7" x14ac:dyDescent="0.25">
      <c r="A32" s="564" t="s">
        <v>21</v>
      </c>
      <c r="B32" s="564"/>
      <c r="C32" s="279">
        <f>C9+C10+C19+C20+C22+C25+C27+C29+C31</f>
        <v>0</v>
      </c>
      <c r="D32" s="279">
        <f t="shared" ref="D32:G32" si="0">D9+D10+D19+D20+D22+D25+D27+D29+D31</f>
        <v>0</v>
      </c>
      <c r="E32" s="279">
        <f t="shared" si="0"/>
        <v>0</v>
      </c>
      <c r="F32" s="279">
        <f t="shared" si="0"/>
        <v>0</v>
      </c>
      <c r="G32" s="279">
        <f t="shared" si="0"/>
        <v>0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3" topLeftCell="A13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22.85546875" customWidth="1"/>
    <col min="2" max="2" width="11.42578125" customWidth="1"/>
    <col min="3" max="6" width="11.85546875" style="4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58" t="s">
        <v>25</v>
      </c>
      <c r="B4" s="558"/>
      <c r="C4" s="11"/>
      <c r="D4" s="11"/>
      <c r="E4" s="11"/>
      <c r="F4" s="11"/>
      <c r="G4" s="12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t="s">
        <v>3</v>
      </c>
      <c r="G6"/>
    </row>
    <row r="7" spans="1:7" s="4" customFormat="1" x14ac:dyDescent="0.25">
      <c r="A7" t="s">
        <v>4</v>
      </c>
      <c r="B7" t="s">
        <v>5</v>
      </c>
      <c r="G7"/>
    </row>
    <row r="8" spans="1:7" s="4" customFormat="1" x14ac:dyDescent="0.25">
      <c r="A8"/>
      <c r="B8"/>
      <c r="G8"/>
    </row>
    <row r="9" spans="1:7" s="4" customFormat="1" x14ac:dyDescent="0.25">
      <c r="A9" t="s">
        <v>2</v>
      </c>
      <c r="B9" s="2" t="s">
        <v>13</v>
      </c>
      <c r="G9"/>
    </row>
    <row r="10" spans="1:7" s="4" customFormat="1" x14ac:dyDescent="0.25">
      <c r="A10" t="s">
        <v>4</v>
      </c>
      <c r="B10" s="2" t="s">
        <v>13</v>
      </c>
      <c r="G10"/>
    </row>
    <row r="12" spans="1:7" s="4" customFormat="1" x14ac:dyDescent="0.25">
      <c r="A12" s="7" t="s">
        <v>7</v>
      </c>
      <c r="B12"/>
      <c r="G12"/>
    </row>
    <row r="13" spans="1:7" s="4" customFormat="1" x14ac:dyDescent="0.25">
      <c r="A13" s="6" t="s">
        <v>8</v>
      </c>
      <c r="B13" t="s">
        <v>9</v>
      </c>
      <c r="G13"/>
    </row>
    <row r="14" spans="1:7" s="4" customFormat="1" x14ac:dyDescent="0.25">
      <c r="A14" s="3" t="s">
        <v>10</v>
      </c>
      <c r="B14"/>
      <c r="G14"/>
    </row>
    <row r="15" spans="1:7" s="4" customFormat="1" x14ac:dyDescent="0.25">
      <c r="A15" s="3" t="s">
        <v>260</v>
      </c>
      <c r="B15"/>
      <c r="G15"/>
    </row>
    <row r="16" spans="1:7" s="4" customFormat="1" x14ac:dyDescent="0.25">
      <c r="A16" s="3" t="s">
        <v>12</v>
      </c>
      <c r="B16"/>
      <c r="G16"/>
    </row>
    <row r="18" spans="1:7" s="4" customFormat="1" x14ac:dyDescent="0.25">
      <c r="A18" s="6" t="s">
        <v>8</v>
      </c>
      <c r="B18" s="2" t="s">
        <v>13</v>
      </c>
      <c r="G18"/>
    </row>
    <row r="19" spans="1:7" s="4" customFormat="1" x14ac:dyDescent="0.25">
      <c r="A19" s="3" t="s">
        <v>10</v>
      </c>
      <c r="B19"/>
      <c r="G19"/>
    </row>
    <row r="20" spans="1:7" s="4" customFormat="1" x14ac:dyDescent="0.25">
      <c r="A20" s="3" t="s">
        <v>11</v>
      </c>
      <c r="B20"/>
      <c r="G20"/>
    </row>
    <row r="22" spans="1:7" s="4" customFormat="1" x14ac:dyDescent="0.25">
      <c r="A22" s="6" t="s">
        <v>14</v>
      </c>
      <c r="B22" s="2" t="s">
        <v>13</v>
      </c>
      <c r="G22"/>
    </row>
    <row r="24" spans="1:7" s="4" customFormat="1" x14ac:dyDescent="0.25">
      <c r="A24" s="7" t="s">
        <v>15</v>
      </c>
      <c r="B24"/>
      <c r="G24"/>
    </row>
    <row r="25" spans="1:7" s="4" customFormat="1" x14ac:dyDescent="0.25">
      <c r="A25" t="s">
        <v>16</v>
      </c>
      <c r="B25" s="2" t="s">
        <v>13</v>
      </c>
      <c r="G25"/>
    </row>
    <row r="27" spans="1:7" s="4" customFormat="1" x14ac:dyDescent="0.25">
      <c r="A27" s="7" t="s">
        <v>17</v>
      </c>
      <c r="B27" s="2" t="s">
        <v>13</v>
      </c>
      <c r="G27"/>
    </row>
    <row r="29" spans="1:7" s="4" customFormat="1" x14ac:dyDescent="0.25">
      <c r="A29" s="7" t="s">
        <v>18</v>
      </c>
      <c r="B29" s="2" t="s">
        <v>13</v>
      </c>
      <c r="G29"/>
    </row>
    <row r="31" spans="1:7" x14ac:dyDescent="0.25">
      <c r="A31" s="7" t="s">
        <v>31</v>
      </c>
      <c r="B31" s="2" t="s">
        <v>13</v>
      </c>
    </row>
    <row r="32" spans="1:7" x14ac:dyDescent="0.25">
      <c r="A32" s="564" t="s">
        <v>21</v>
      </c>
      <c r="B32" s="564"/>
      <c r="C32" s="279">
        <f>C9+C10+C19+C20+C22+C25+C27+C29+C31</f>
        <v>0</v>
      </c>
      <c r="D32" s="279">
        <f t="shared" ref="D32:G32" si="0">D9+D10+D19+D20+D22+D25+D27+D29+D31</f>
        <v>0</v>
      </c>
      <c r="E32" s="279">
        <f t="shared" si="0"/>
        <v>0</v>
      </c>
      <c r="F32" s="279">
        <f t="shared" si="0"/>
        <v>0</v>
      </c>
      <c r="G32" s="279">
        <f t="shared" si="0"/>
        <v>0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3" topLeftCell="A10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43.85546875" customWidth="1"/>
    <col min="2" max="2" width="11.42578125" customWidth="1"/>
    <col min="3" max="6" width="11.85546875" style="4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65" t="s">
        <v>24</v>
      </c>
      <c r="B4" s="565"/>
      <c r="G4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t="s">
        <v>3</v>
      </c>
      <c r="G6"/>
    </row>
    <row r="7" spans="1:7" s="4" customFormat="1" x14ac:dyDescent="0.25">
      <c r="A7" t="s">
        <v>4</v>
      </c>
      <c r="B7" t="s">
        <v>5</v>
      </c>
      <c r="G7"/>
    </row>
    <row r="8" spans="1:7" s="4" customFormat="1" x14ac:dyDescent="0.25">
      <c r="A8"/>
      <c r="B8"/>
      <c r="G8"/>
    </row>
    <row r="9" spans="1:7" s="4" customFormat="1" x14ac:dyDescent="0.25">
      <c r="A9" t="s">
        <v>2</v>
      </c>
      <c r="B9" s="2" t="s">
        <v>13</v>
      </c>
      <c r="G9"/>
    </row>
    <row r="10" spans="1:7" s="4" customFormat="1" x14ac:dyDescent="0.25">
      <c r="A10" t="s">
        <v>4</v>
      </c>
      <c r="B10" s="2" t="s">
        <v>13</v>
      </c>
      <c r="G10"/>
    </row>
    <row r="12" spans="1:7" s="4" customFormat="1" x14ac:dyDescent="0.25">
      <c r="A12" s="7" t="s">
        <v>7</v>
      </c>
      <c r="B12"/>
      <c r="G12"/>
    </row>
    <row r="13" spans="1:7" s="4" customFormat="1" x14ac:dyDescent="0.25">
      <c r="A13" s="6" t="s">
        <v>8</v>
      </c>
      <c r="B13" t="s">
        <v>9</v>
      </c>
      <c r="G13"/>
    </row>
    <row r="14" spans="1:7" s="4" customFormat="1" x14ac:dyDescent="0.25">
      <c r="A14" s="3" t="s">
        <v>10</v>
      </c>
      <c r="B14"/>
      <c r="G14"/>
    </row>
    <row r="15" spans="1:7" s="4" customFormat="1" x14ac:dyDescent="0.25">
      <c r="A15" s="3" t="s">
        <v>260</v>
      </c>
      <c r="B15"/>
      <c r="G15"/>
    </row>
    <row r="16" spans="1:7" s="4" customFormat="1" x14ac:dyDescent="0.25">
      <c r="A16" s="3" t="s">
        <v>12</v>
      </c>
      <c r="B16"/>
      <c r="G16"/>
    </row>
    <row r="18" spans="1:7" s="4" customFormat="1" x14ac:dyDescent="0.25">
      <c r="A18" s="6" t="s">
        <v>8</v>
      </c>
      <c r="B18" s="2" t="s">
        <v>13</v>
      </c>
      <c r="G18"/>
    </row>
    <row r="19" spans="1:7" s="4" customFormat="1" x14ac:dyDescent="0.25">
      <c r="A19" s="3" t="s">
        <v>10</v>
      </c>
      <c r="B19"/>
      <c r="G19"/>
    </row>
    <row r="20" spans="1:7" s="4" customFormat="1" x14ac:dyDescent="0.25">
      <c r="A20" s="3" t="s">
        <v>11</v>
      </c>
      <c r="B20"/>
      <c r="G20"/>
    </row>
    <row r="22" spans="1:7" s="4" customFormat="1" x14ac:dyDescent="0.25">
      <c r="A22" s="6" t="s">
        <v>14</v>
      </c>
      <c r="B22" s="2" t="s">
        <v>13</v>
      </c>
      <c r="G22"/>
    </row>
    <row r="24" spans="1:7" s="4" customFormat="1" x14ac:dyDescent="0.25">
      <c r="A24" s="7" t="s">
        <v>15</v>
      </c>
      <c r="B24"/>
      <c r="G24"/>
    </row>
    <row r="25" spans="1:7" s="4" customFormat="1" x14ac:dyDescent="0.25">
      <c r="A25" t="s">
        <v>16</v>
      </c>
      <c r="B25" s="2" t="s">
        <v>13</v>
      </c>
      <c r="G25"/>
    </row>
    <row r="27" spans="1:7" s="4" customFormat="1" x14ac:dyDescent="0.25">
      <c r="A27" s="7" t="s">
        <v>17</v>
      </c>
      <c r="B27" s="2" t="s">
        <v>13</v>
      </c>
      <c r="G27"/>
    </row>
    <row r="29" spans="1:7" s="4" customFormat="1" x14ac:dyDescent="0.25">
      <c r="A29" s="7" t="s">
        <v>18</v>
      </c>
      <c r="B29" s="2" t="s">
        <v>13</v>
      </c>
      <c r="G29"/>
    </row>
    <row r="31" spans="1:7" x14ac:dyDescent="0.25">
      <c r="A31" s="7" t="s">
        <v>31</v>
      </c>
      <c r="B31" s="2" t="s">
        <v>13</v>
      </c>
    </row>
    <row r="32" spans="1:7" x14ac:dyDescent="0.25">
      <c r="A32" s="564" t="s">
        <v>21</v>
      </c>
      <c r="B32" s="564"/>
      <c r="C32" s="279">
        <f>C9+C10+C19+C20+C22+C25+C27+C29+C31</f>
        <v>0</v>
      </c>
      <c r="D32" s="279">
        <f t="shared" ref="D32:G32" si="0">D9+D10+D19+D20+D22+D25+D27+D29+D31</f>
        <v>0</v>
      </c>
      <c r="E32" s="279">
        <f t="shared" si="0"/>
        <v>0</v>
      </c>
      <c r="F32" s="279">
        <f t="shared" si="0"/>
        <v>0</v>
      </c>
      <c r="G32" s="279">
        <f t="shared" si="0"/>
        <v>0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ySplit="3" topLeftCell="A16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22.85546875" customWidth="1"/>
    <col min="2" max="2" width="11.42578125" customWidth="1"/>
    <col min="3" max="3" width="12" style="4" bestFit="1" customWidth="1"/>
    <col min="4" max="6" width="12.85546875" style="4" bestFit="1" customWidth="1"/>
    <col min="7" max="7" width="12.85546875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65" t="s">
        <v>30</v>
      </c>
      <c r="B4" s="565"/>
      <c r="G4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s="2" t="s">
        <v>13</v>
      </c>
      <c r="C6" s="13">
        <f>'Ville LORIENT'!C9+LOCMIQUELIC!C9+LANESTER!C9+LANVEUR!C9+BUBRY!C9+'PLOUAY (1)'!C9+'PLOUAY (2)'!C9+'PLOEMEUR (1)'!C9+'PLOEMEUR (2)'!C9+RIEC!C9+ARZANO!C9</f>
        <v>38200</v>
      </c>
      <c r="D6" s="13">
        <f>'Ville LORIENT'!D9+LOCMIQUELIC!D9+LANESTER!D9+LANVEUR!D9+BUBRY!D9+'PLOUAY (1)'!D9+'PLOUAY (2)'!D9+'PLOEMEUR (1)'!D9+'PLOEMEUR (2)'!D9+RIEC!D9+ARZANO!D9</f>
        <v>103626</v>
      </c>
      <c r="E6" s="13">
        <f>'Ville LORIENT'!E9+LOCMIQUELIC!E9+LANESTER!E9+LANVEUR!E9+BUBRY!E9+'PLOUAY (1)'!E9+'PLOUAY (2)'!E9+'PLOEMEUR (1)'!E9+'PLOEMEUR (2)'!E9+RIEC!E9+ARZANO!E9</f>
        <v>143630.08000000002</v>
      </c>
      <c r="F6" s="13">
        <f>'Ville LORIENT'!F9+LOCMIQUELIC!F9+LANESTER!F9+LANVEUR!F9+BUBRY!F9+'PLOUAY (1)'!F9+'PLOUAY (2)'!F9+'PLOEMEUR (1)'!F9+'PLOEMEUR (2)'!F9+RIEC!F9+ARZANO!F9</f>
        <v>337548.34165226773</v>
      </c>
      <c r="G6" s="13">
        <f>'Ville LORIENT'!G9+LOCMIQUELIC!G9+LANESTER!G9+LANVEUR!G9+BUBRY!G9+'PLOUAY (1)'!G9+'PLOUAY (2)'!G9+'PLOEMEUR (1)'!G9+'PLOEMEUR (2)'!G9+RIEC!G9+ARZANO!G9</f>
        <v>341415.98028124898</v>
      </c>
    </row>
    <row r="7" spans="1:7" s="4" customFormat="1" x14ac:dyDescent="0.25">
      <c r="A7" t="s">
        <v>4</v>
      </c>
      <c r="B7" s="2" t="s">
        <v>13</v>
      </c>
      <c r="C7" s="13">
        <f>'Ville LORIENT'!C13+LOCMIQUELIC!C10+LANESTER!C10+LANVEUR!C10+BUBRY!C10+'PLOUAY (1)'!C10+'PLOUAY (2)'!C10+'PLOEMEUR (1)'!C10+'PLOEMEUR (2)'!C10+RIEC!C10+ARZANO!C10</f>
        <v>0</v>
      </c>
      <c r="D7" s="13">
        <f>'Ville LORIENT'!D13+LOCMIQUELIC!D10+LANESTER!D10+LANVEUR!D10+BUBRY!D10+'PLOUAY (1)'!D10+'PLOUAY (2)'!D10+'PLOEMEUR (1)'!D10+'PLOEMEUR (2)'!D10+RIEC!D10+ARZANO!D10</f>
        <v>0</v>
      </c>
      <c r="E7" s="13">
        <f>'Ville LORIENT'!E13+LOCMIQUELIC!E10+LANESTER!E10+LANVEUR!E10+BUBRY!E10+'PLOUAY (1)'!E10+'PLOUAY (2)'!E10+'PLOEMEUR (1)'!E10+'PLOEMEUR (2)'!E10+RIEC!E10+ARZANO!E10</f>
        <v>0</v>
      </c>
      <c r="F7" s="13">
        <f>'Ville LORIENT'!F13+LOCMIQUELIC!F10+LANESTER!F10+LANVEUR!F10+BUBRY!F10+'PLOUAY (1)'!F10+'PLOUAY (2)'!F10+'PLOEMEUR (1)'!F10+'PLOEMEUR (2)'!F10+RIEC!F10+ARZANO!F10</f>
        <v>29506.338962960002</v>
      </c>
      <c r="G7" s="13">
        <f>'Ville LORIENT'!G13+LOCMIQUELIC!G10+LANESTER!G10+LANVEUR!G10+BUBRY!G10+'PLOUAY (1)'!G10+'PLOUAY (2)'!G10+'PLOEMEUR (1)'!G10+'PLOEMEUR (2)'!G10+RIEC!G10+ARZANO!G10</f>
        <v>30391.529131848802</v>
      </c>
    </row>
    <row r="9" spans="1:7" s="4" customFormat="1" x14ac:dyDescent="0.25">
      <c r="A9" s="7" t="s">
        <v>7</v>
      </c>
      <c r="B9"/>
      <c r="G9"/>
    </row>
    <row r="10" spans="1:7" s="4" customFormat="1" x14ac:dyDescent="0.25">
      <c r="A10" s="6" t="s">
        <v>8</v>
      </c>
      <c r="B10" s="2" t="s">
        <v>13</v>
      </c>
      <c r="G10"/>
    </row>
    <row r="11" spans="1:7" s="4" customFormat="1" x14ac:dyDescent="0.25">
      <c r="A11" s="3" t="s">
        <v>10</v>
      </c>
      <c r="B11"/>
      <c r="C11" s="13">
        <f>'Ville LORIENT'!C22+LOCMIQUELIC!C19+LANESTER!C19+LANVEUR!C19+BUBRY!C19+'PLOUAY (1)'!C19+'PLOUAY (2)'!C19+'PLOEMEUR (1)'!C19+'PLOEMEUR (2)'!C19+RIEC!C19+ARZANO!C19</f>
        <v>1455.7611038961038</v>
      </c>
      <c r="D11" s="13">
        <f>'Ville LORIENT'!D22+LOCMIQUELIC!D19+LANESTER!D19+LANVEUR!D19+BUBRY!D19+'PLOUAY (1)'!D19+'PLOUAY (2)'!D19+'PLOEMEUR (1)'!D19+'PLOEMEUR (2)'!D19+RIEC!D19+ARZANO!D19</f>
        <v>5823.0444155844152</v>
      </c>
      <c r="E11" s="13">
        <f>'Ville LORIENT'!E22+LOCMIQUELIC!E19+LANESTER!E19+LANVEUR!E19+BUBRY!E19+'PLOUAY (1)'!E19+'PLOUAY (2)'!E19+'PLOEMEUR (1)'!E19+'PLOEMEUR (2)'!E19+RIEC!E19+ARZANO!E19</f>
        <v>5823.0444155844152</v>
      </c>
      <c r="F11" s="13">
        <f>'Ville LORIENT'!F22+LOCMIQUELIC!F19+LANESTER!F19+LANVEUR!F19+BUBRY!F19+'PLOUAY (1)'!F19+'PLOUAY (2)'!F19+'PLOEMEUR (1)'!F19+'PLOEMEUR (2)'!F19+RIEC!F19+ARZANO!F19</f>
        <v>8006.6860714285704</v>
      </c>
      <c r="G11" s="13">
        <f>'Ville LORIENT'!G22+LOCMIQUELIC!G19+LANESTER!G19+LANVEUR!G19+BUBRY!G19+'PLOUAY (1)'!G19+'PLOUAY (2)'!G19+'PLOEMEUR (1)'!G19+'PLOEMEUR (2)'!G19+RIEC!G19+ARZANO!G19</f>
        <v>8006.6860714285704</v>
      </c>
    </row>
    <row r="12" spans="1:7" s="4" customFormat="1" x14ac:dyDescent="0.25">
      <c r="A12" s="3" t="s">
        <v>11</v>
      </c>
      <c r="B12"/>
      <c r="C12" s="13">
        <f>'Ville LORIENT'!C23+LOCMIQUELIC!C20+LANESTER!C20+LANVEUR!C20+BUBRY!C20+'PLOUAY (1)'!C20+'PLOUAY (2)'!C20+'PLOEMEUR (1)'!C20+'PLOEMEUR (2)'!C20+RIEC!C20+ARZANO!C20</f>
        <v>3336.6007402597402</v>
      </c>
      <c r="D12" s="13">
        <f>'Ville LORIENT'!D23+LOCMIQUELIC!D20+LANESTER!D20+LANVEUR!D20+BUBRY!D20+'PLOUAY (1)'!D20+'PLOUAY (2)'!D20+'PLOEMEUR (1)'!D20+'PLOEMEUR (2)'!D20+RIEC!D20+ARZANO!D20</f>
        <v>13346.402961038961</v>
      </c>
      <c r="E12" s="13">
        <f>'Ville LORIENT'!E23+LOCMIQUELIC!E20+LANESTER!E20+LANVEUR!E20+BUBRY!E20+'PLOUAY (1)'!E20+'PLOUAY (2)'!E20+'PLOEMEUR (1)'!E20+'PLOEMEUR (2)'!E20+RIEC!E20+ARZANO!E20</f>
        <v>13346.402961038961</v>
      </c>
      <c r="F12" s="13">
        <f>'Ville LORIENT'!F23+LOCMIQUELIC!F20+LANESTER!F20+LANVEUR!F20+BUBRY!F20+'PLOUAY (1)'!F20+'PLOUAY (2)'!F20+'PLOEMEUR (1)'!F20+'PLOEMEUR (2)'!F20+RIEC!F20+ARZANO!F20</f>
        <v>20761.071272727273</v>
      </c>
      <c r="G12" s="13">
        <f>'Ville LORIENT'!G23+LOCMIQUELIC!G20+LANESTER!G20+LANVEUR!G20+BUBRY!G20+'PLOUAY (1)'!G20+'PLOUAY (2)'!G20+'PLOEMEUR (1)'!G20+'PLOEMEUR (2)'!G20+RIEC!G20+ARZANO!G20</f>
        <v>20761.071272727273</v>
      </c>
    </row>
    <row r="13" spans="1:7" x14ac:dyDescent="0.25">
      <c r="C13" s="13"/>
    </row>
    <row r="14" spans="1:7" s="4" customFormat="1" x14ac:dyDescent="0.25">
      <c r="A14" s="6" t="s">
        <v>14</v>
      </c>
      <c r="B14" s="2" t="s">
        <v>13</v>
      </c>
      <c r="C14" s="13">
        <f>'Ville LORIENT'!C25+LOCMIQUELIC!C22+LANESTER!C22+LANVEUR!C22+BUBRY!C22+'PLOUAY (1)'!C22+'PLOUAY (2)'!C22+'PLOEMEUR (1)'!C22+'PLOEMEUR (2)'!C22+RIEC!C22+ARZANO!C22</f>
        <v>4750</v>
      </c>
      <c r="D14" s="13">
        <f>'Ville LORIENT'!D25+LOCMIQUELIC!D22+LANESTER!D22+LANVEUR!D22+BUBRY!D22+'PLOUAY (1)'!D22+'PLOUAY (2)'!D22+'PLOEMEUR (1)'!D22+'PLOEMEUR (2)'!D22+RIEC!D22+ARZANO!D22</f>
        <v>8000</v>
      </c>
      <c r="E14" s="13">
        <f>'Ville LORIENT'!E25+LOCMIQUELIC!E22+LANESTER!E22+LANVEUR!E22+BUBRY!E22+'PLOUAY (1)'!E22+'PLOUAY (2)'!E22+'PLOEMEUR (1)'!E22+'PLOEMEUR (2)'!E22+RIEC!E22+ARZANO!E22</f>
        <v>8000</v>
      </c>
      <c r="F14" s="13">
        <f>'Ville LORIENT'!F25+LOCMIQUELIC!F22+LANESTER!F22+LANVEUR!F22+BUBRY!F22+'PLOUAY (1)'!F22+'PLOUAY (2)'!F22+'PLOEMEUR (1)'!F22+'PLOEMEUR (2)'!F22+RIEC!F22+ARZANO!F22</f>
        <v>36413.32</v>
      </c>
      <c r="G14" s="13">
        <f>'Ville LORIENT'!G25+LOCMIQUELIC!G22+LANESTER!G22+LANVEUR!G22+BUBRY!G22+'PLOUAY (1)'!G22+'PLOUAY (2)'!G22+'PLOEMEUR (1)'!G22+'PLOEMEUR (2)'!G22+RIEC!G22+ARZANO!G22</f>
        <v>36413.32</v>
      </c>
    </row>
    <row r="15" spans="1:7" x14ac:dyDescent="0.25">
      <c r="A15" t="s">
        <v>260</v>
      </c>
      <c r="C15" s="13"/>
    </row>
    <row r="16" spans="1:7" s="4" customFormat="1" x14ac:dyDescent="0.25">
      <c r="A16" s="7" t="s">
        <v>15</v>
      </c>
      <c r="B16"/>
      <c r="C16" s="13"/>
      <c r="G16"/>
    </row>
    <row r="17" spans="1:7" s="4" customFormat="1" x14ac:dyDescent="0.25">
      <c r="A17" t="s">
        <v>16</v>
      </c>
      <c r="B17" s="2" t="s">
        <v>13</v>
      </c>
      <c r="C17" s="13">
        <f>'Ville LORIENT'!C28+LOCMIQUELIC!C25+LANESTER!C25+LANVEUR!C25+BUBRY!C25+'PLOUAY (1)'!C25+'PLOUAY (2)'!C25+'PLOEMEUR (1)'!C25+'PLOEMEUR (2)'!C25+RIEC!C25+ARZANO!C25</f>
        <v>0</v>
      </c>
      <c r="D17" s="13">
        <f>'Ville LORIENT'!D28+LOCMIQUELIC!D25+LANESTER!D25+LANVEUR!D25+BUBRY!D25+'PLOUAY (1)'!D25+'PLOUAY (2)'!D25+'PLOEMEUR (1)'!D25+'PLOEMEUR (2)'!D25+RIEC!D25+ARZANO!D25</f>
        <v>0</v>
      </c>
      <c r="E17" s="13">
        <f>'Ville LORIENT'!E28+LOCMIQUELIC!E25+LANESTER!E25+LANVEUR!E25+BUBRY!E25+'PLOUAY (1)'!E25+'PLOUAY (2)'!E25+'PLOEMEUR (1)'!E25+'PLOEMEUR (2)'!E25+RIEC!E25+ARZANO!E25</f>
        <v>0</v>
      </c>
      <c r="F17" s="13">
        <f>'Ville LORIENT'!F28+LOCMIQUELIC!F25+LANESTER!F25+LANVEUR!F25+BUBRY!F25+'PLOUAY (1)'!F25+'PLOUAY (2)'!F25+'PLOEMEUR (1)'!F25+'PLOEMEUR (2)'!F25+RIEC!F25+ARZANO!F25</f>
        <v>15900</v>
      </c>
      <c r="G17" s="13">
        <f>'Ville LORIENT'!G28+LOCMIQUELIC!G25+LANESTER!G25+LANVEUR!G25+BUBRY!G25+'PLOUAY (1)'!G25+'PLOUAY (2)'!G25+'PLOEMEUR (1)'!G25+'PLOEMEUR (2)'!G25+RIEC!G25+ARZANO!G25</f>
        <v>15900</v>
      </c>
    </row>
    <row r="18" spans="1:7" x14ac:dyDescent="0.25">
      <c r="C18" s="13"/>
    </row>
    <row r="19" spans="1:7" s="4" customFormat="1" x14ac:dyDescent="0.25">
      <c r="A19" s="7" t="s">
        <v>17</v>
      </c>
      <c r="B19" s="2" t="s">
        <v>13</v>
      </c>
      <c r="C19" s="13">
        <f>'Ville LORIENT'!C30+LOCMIQUELIC!C27+LANESTER!C27+LANVEUR!C34+BUBRY!C27+'PLOUAY (1)'!C27+'PLOUAY (2)'!C27+'PLOEMEUR (1)'!C27+'PLOEMEUR (2)'!C27+RIEC!C27+ARZANO!C27</f>
        <v>0</v>
      </c>
      <c r="D19" s="13">
        <f>'Ville LORIENT'!D30+LOCMIQUELIC!D27+LANESTER!D27+LANVEUR!D34+BUBRY!D27+'PLOUAY (1)'!D27+'PLOUAY (2)'!D27+'PLOEMEUR (1)'!D27+'PLOEMEUR (2)'!D27+RIEC!D27+ARZANO!D27</f>
        <v>0</v>
      </c>
      <c r="E19" s="13">
        <f>'Ville LORIENT'!E30+LOCMIQUELIC!E27+LANESTER!E27+LANVEUR!E34+BUBRY!E27+'PLOUAY (1)'!E27+'PLOUAY (2)'!E27+'PLOEMEUR (1)'!E27+'PLOEMEUR (2)'!E27+RIEC!E27+ARZANO!E27</f>
        <v>20000</v>
      </c>
      <c r="F19" s="13">
        <f>'Ville LORIENT'!F30+LOCMIQUELIC!F27+LANESTER!F27+LANVEUR!F34+BUBRY!F27+'PLOUAY (1)'!F27+'PLOUAY (2)'!F27+'PLOEMEUR (1)'!F27+'PLOEMEUR (2)'!F27+RIEC!F27+ARZANO!F27</f>
        <v>89071.038251366117</v>
      </c>
      <c r="G19" s="13">
        <f>'Ville LORIENT'!G30+LOCMIQUELIC!G27+LANESTER!G27+LANVEUR!G34+BUBRY!G27+'PLOUAY (1)'!G27+'PLOUAY (2)'!G27+'PLOEMEUR (1)'!G27+'PLOEMEUR (2)'!G27+RIEC!G27+ARZANO!G27</f>
        <v>89071.038251366117</v>
      </c>
    </row>
    <row r="20" spans="1:7" x14ac:dyDescent="0.25">
      <c r="C20" s="13"/>
    </row>
    <row r="21" spans="1:7" s="4" customFormat="1" x14ac:dyDescent="0.25">
      <c r="A21" s="7" t="s">
        <v>18</v>
      </c>
      <c r="B21" s="2" t="s">
        <v>13</v>
      </c>
      <c r="C21" s="13">
        <f>'Ville LORIENT'!C32+LOCMIQUELIC!C29+LANESTER!C29+LANVEUR!C36+BUBRY!C29+'PLOUAY (1)'!C29+'PLOUAY (2)'!C29+'PLOEMEUR (1)'!C29+'PLOEMEUR (2)'!C29+RIEC!C29+ARZANO!C29</f>
        <v>0</v>
      </c>
      <c r="D21" s="13">
        <f>'Ville LORIENT'!D32+LOCMIQUELIC!D29+LANESTER!D29+LANVEUR!D36+BUBRY!D29+'PLOUAY (1)'!D29+'PLOUAY (2)'!D29+'PLOEMEUR (1)'!D29+'PLOEMEUR (2)'!D29+RIEC!D29+ARZANO!D29</f>
        <v>0</v>
      </c>
      <c r="E21" s="13">
        <f>'Ville LORIENT'!E32+LOCMIQUELIC!E29+LANESTER!E29+LANVEUR!E36+BUBRY!E29+'PLOUAY (1)'!E29+'PLOUAY (2)'!E29+'PLOEMEUR (1)'!E29+'PLOEMEUR (2)'!E29+RIEC!E29+ARZANO!E29</f>
        <v>9604.7000000000007</v>
      </c>
      <c r="F21" s="13">
        <f>'Ville LORIENT'!F32+LOCMIQUELIC!F29+LANESTER!F29+LANVEUR!F36+BUBRY!F29+'PLOUAY (1)'!F29+'PLOUAY (2)'!F29+'PLOEMEUR (1)'!F29+'PLOEMEUR (2)'!F29+RIEC!F29+ARZANO!F29</f>
        <v>17262.733124999999</v>
      </c>
      <c r="G21" s="13">
        <f>'Ville LORIENT'!G32+LOCMIQUELIC!G29+LANESTER!G29+LANVEUR!G36+BUBRY!G29+'PLOUAY (1)'!G29+'PLOUAY (2)'!G29+'PLOEMEUR (1)'!G29+'PLOEMEUR (2)'!G29+RIEC!G29+ARZANO!G29</f>
        <v>17262.733124999999</v>
      </c>
    </row>
    <row r="22" spans="1:7" x14ac:dyDescent="0.25">
      <c r="C22" s="13"/>
    </row>
    <row r="23" spans="1:7" x14ac:dyDescent="0.25">
      <c r="A23" s="7" t="s">
        <v>31</v>
      </c>
      <c r="B23" s="2" t="s">
        <v>13</v>
      </c>
      <c r="C23" s="13">
        <f>'Ville LORIENT'!C37+LOCMIQUELIC!C31+LANESTER!C31+LANVEUR!C38+BUBRY!C31+'PLOUAY (1)'!C31+'PLOUAY (2)'!C31+'PLOEMEUR (1)'!C31+'PLOEMEUR (2)'!C31+RIEC!C31+ARZANO!C31</f>
        <v>4737.3226016374929</v>
      </c>
      <c r="D23" s="13">
        <f>'Ville LORIENT'!D37+LOCMIQUELIC!D31+LANESTER!D31+LANVEUR!D38+BUBRY!D31+'PLOUAY (1)'!D31+'PLOUAY (2)'!D31+'PLOEMEUR (1)'!D31+'PLOEMEUR (2)'!D31+RIEC!D31+ARZANO!D31</f>
        <v>11729.081404698243</v>
      </c>
      <c r="E23" s="13">
        <f>'Ville LORIENT'!E37+LOCMIQUELIC!E31+LANESTER!E31+LANVEUR!E38+BUBRY!E31+'PLOUAY (1)'!E31+'PLOUAY (2)'!E31+'PLOEMEUR (1)'!E31+'PLOEMEUR (2)'!E31+RIEC!E31+ARZANO!E31</f>
        <v>11280.657152210006</v>
      </c>
      <c r="F23" s="13">
        <f>'Ville LORIENT'!F37+LOCMIQUELIC!F31+LANESTER!F31+LANVEUR!F38+BUBRY!F31+'PLOUAY (1)'!F31+'PLOUAY (2)'!F31+'PLOEMEUR (1)'!F31+'PLOEMEUR (2)'!F31+RIEC!F31+ARZANO!F31</f>
        <v>24553.847593902217</v>
      </c>
      <c r="G23" s="13">
        <f>'Ville LORIENT'!G37+LOCMIQUELIC!G31+LANESTER!G31+LANVEUR!G38+BUBRY!G31+'PLOUAY (1)'!G31+'PLOUAY (2)'!G31+'PLOEMEUR (1)'!G31+'PLOEMEUR (2)'!G31+RIEC!G31+ARZANO!G31</f>
        <v>0</v>
      </c>
    </row>
    <row r="24" spans="1:7" x14ac:dyDescent="0.25">
      <c r="A24" s="564" t="s">
        <v>21</v>
      </c>
      <c r="B24" s="564"/>
      <c r="C24" s="279">
        <f>C6+C7+C11+C12+C14+C17+C19+C21+C23</f>
        <v>52479.684445793333</v>
      </c>
      <c r="D24" s="279">
        <f>D6+D7+D11+D12+D14+D17+D19+D21+D23</f>
        <v>142524.52878132163</v>
      </c>
      <c r="E24" s="279">
        <f>E6+E7+E11+E12+E14+E17+E19+E21+E23</f>
        <v>211684.88452883341</v>
      </c>
      <c r="F24" s="279">
        <f>F6+F7+F11+F12+F14+F17+F19+F21+F23</f>
        <v>579023.37692965206</v>
      </c>
      <c r="G24" s="279">
        <f>G6+G7+G11+G12+G14+G17+G19+G21+G23</f>
        <v>559222.35813361977</v>
      </c>
    </row>
  </sheetData>
  <mergeCells count="2">
    <mergeCell ref="A4:B4"/>
    <mergeCell ref="A24:B2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"/>
  <sheetViews>
    <sheetView workbookViewId="0">
      <selection activeCell="A16" sqref="A16"/>
    </sheetView>
  </sheetViews>
  <sheetFormatPr baseColWidth="10" defaultRowHeight="15" x14ac:dyDescent="0.25"/>
  <sheetData>
    <row r="15" spans="1:1" x14ac:dyDescent="0.25">
      <c r="A15" t="s">
        <v>260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00"/>
  <sheetViews>
    <sheetView zoomScaleNormal="100" workbookViewId="0">
      <pane ySplit="4" topLeftCell="A5" activePane="bottomLeft" state="frozen"/>
      <selection activeCell="A57" sqref="A57"/>
      <selection pane="bottomLeft" activeCell="C188" sqref="C188"/>
    </sheetView>
  </sheetViews>
  <sheetFormatPr baseColWidth="10" defaultRowHeight="12.75" x14ac:dyDescent="0.2"/>
  <cols>
    <col min="1" max="1" width="61.28515625" style="16" bestFit="1" customWidth="1"/>
    <col min="2" max="2" width="22.28515625" style="16" customWidth="1"/>
    <col min="3" max="3" width="20" style="16" customWidth="1"/>
    <col min="4" max="4" width="21.7109375" style="16" customWidth="1"/>
    <col min="5" max="5" width="19" style="16" customWidth="1"/>
    <col min="6" max="6" width="16.5703125" style="16" customWidth="1"/>
    <col min="7" max="7" width="17.85546875" style="16" customWidth="1"/>
    <col min="8" max="8" width="3.140625" style="16" customWidth="1"/>
    <col min="9" max="9" width="50" style="16" customWidth="1"/>
    <col min="10" max="14" width="13" style="16" bestFit="1" customWidth="1"/>
    <col min="15" max="16" width="14.7109375" style="16" customWidth="1"/>
    <col min="17" max="17" width="15.7109375" style="16" customWidth="1"/>
    <col min="18" max="18" width="15" style="16" customWidth="1"/>
    <col min="19" max="19" width="17" style="16" customWidth="1"/>
    <col min="20" max="20" width="16.42578125" style="16" customWidth="1"/>
    <col min="21" max="21" width="17.42578125" style="16" customWidth="1"/>
    <col min="22" max="256" width="11.42578125" style="16"/>
    <col min="257" max="257" width="61.28515625" style="16" bestFit="1" customWidth="1"/>
    <col min="258" max="258" width="22.28515625" style="16" customWidth="1"/>
    <col min="259" max="259" width="20" style="16" customWidth="1"/>
    <col min="260" max="260" width="21.7109375" style="16" customWidth="1"/>
    <col min="261" max="261" width="19" style="16" customWidth="1"/>
    <col min="262" max="262" width="16.5703125" style="16" customWidth="1"/>
    <col min="263" max="263" width="17.85546875" style="16" customWidth="1"/>
    <col min="264" max="264" width="3.140625" style="16" customWidth="1"/>
    <col min="265" max="265" width="50" style="16" customWidth="1"/>
    <col min="266" max="270" width="13" style="16" bestFit="1" customWidth="1"/>
    <col min="271" max="272" width="14.7109375" style="16" customWidth="1"/>
    <col min="273" max="273" width="15.7109375" style="16" customWidth="1"/>
    <col min="274" max="274" width="15" style="16" customWidth="1"/>
    <col min="275" max="275" width="17" style="16" customWidth="1"/>
    <col min="276" max="276" width="16.42578125" style="16" customWidth="1"/>
    <col min="277" max="277" width="17.42578125" style="16" customWidth="1"/>
    <col min="278" max="512" width="11.42578125" style="16"/>
    <col min="513" max="513" width="61.28515625" style="16" bestFit="1" customWidth="1"/>
    <col min="514" max="514" width="22.28515625" style="16" customWidth="1"/>
    <col min="515" max="515" width="20" style="16" customWidth="1"/>
    <col min="516" max="516" width="21.7109375" style="16" customWidth="1"/>
    <col min="517" max="517" width="19" style="16" customWidth="1"/>
    <col min="518" max="518" width="16.5703125" style="16" customWidth="1"/>
    <col min="519" max="519" width="17.85546875" style="16" customWidth="1"/>
    <col min="520" max="520" width="3.140625" style="16" customWidth="1"/>
    <col min="521" max="521" width="50" style="16" customWidth="1"/>
    <col min="522" max="526" width="13" style="16" bestFit="1" customWidth="1"/>
    <col min="527" max="528" width="14.7109375" style="16" customWidth="1"/>
    <col min="529" max="529" width="15.7109375" style="16" customWidth="1"/>
    <col min="530" max="530" width="15" style="16" customWidth="1"/>
    <col min="531" max="531" width="17" style="16" customWidth="1"/>
    <col min="532" max="532" width="16.42578125" style="16" customWidth="1"/>
    <col min="533" max="533" width="17.42578125" style="16" customWidth="1"/>
    <col min="534" max="768" width="11.42578125" style="16"/>
    <col min="769" max="769" width="61.28515625" style="16" bestFit="1" customWidth="1"/>
    <col min="770" max="770" width="22.28515625" style="16" customWidth="1"/>
    <col min="771" max="771" width="20" style="16" customWidth="1"/>
    <col min="772" max="772" width="21.7109375" style="16" customWidth="1"/>
    <col min="773" max="773" width="19" style="16" customWidth="1"/>
    <col min="774" max="774" width="16.5703125" style="16" customWidth="1"/>
    <col min="775" max="775" width="17.85546875" style="16" customWidth="1"/>
    <col min="776" max="776" width="3.140625" style="16" customWidth="1"/>
    <col min="777" max="777" width="50" style="16" customWidth="1"/>
    <col min="778" max="782" width="13" style="16" bestFit="1" customWidth="1"/>
    <col min="783" max="784" width="14.7109375" style="16" customWidth="1"/>
    <col min="785" max="785" width="15.7109375" style="16" customWidth="1"/>
    <col min="786" max="786" width="15" style="16" customWidth="1"/>
    <col min="787" max="787" width="17" style="16" customWidth="1"/>
    <col min="788" max="788" width="16.42578125" style="16" customWidth="1"/>
    <col min="789" max="789" width="17.42578125" style="16" customWidth="1"/>
    <col min="790" max="1024" width="11.42578125" style="16"/>
    <col min="1025" max="1025" width="61.28515625" style="16" bestFit="1" customWidth="1"/>
    <col min="1026" max="1026" width="22.28515625" style="16" customWidth="1"/>
    <col min="1027" max="1027" width="20" style="16" customWidth="1"/>
    <col min="1028" max="1028" width="21.7109375" style="16" customWidth="1"/>
    <col min="1029" max="1029" width="19" style="16" customWidth="1"/>
    <col min="1030" max="1030" width="16.5703125" style="16" customWidth="1"/>
    <col min="1031" max="1031" width="17.85546875" style="16" customWidth="1"/>
    <col min="1032" max="1032" width="3.140625" style="16" customWidth="1"/>
    <col min="1033" max="1033" width="50" style="16" customWidth="1"/>
    <col min="1034" max="1038" width="13" style="16" bestFit="1" customWidth="1"/>
    <col min="1039" max="1040" width="14.7109375" style="16" customWidth="1"/>
    <col min="1041" max="1041" width="15.7109375" style="16" customWidth="1"/>
    <col min="1042" max="1042" width="15" style="16" customWidth="1"/>
    <col min="1043" max="1043" width="17" style="16" customWidth="1"/>
    <col min="1044" max="1044" width="16.42578125" style="16" customWidth="1"/>
    <col min="1045" max="1045" width="17.42578125" style="16" customWidth="1"/>
    <col min="1046" max="1280" width="11.42578125" style="16"/>
    <col min="1281" max="1281" width="61.28515625" style="16" bestFit="1" customWidth="1"/>
    <col min="1282" max="1282" width="22.28515625" style="16" customWidth="1"/>
    <col min="1283" max="1283" width="20" style="16" customWidth="1"/>
    <col min="1284" max="1284" width="21.7109375" style="16" customWidth="1"/>
    <col min="1285" max="1285" width="19" style="16" customWidth="1"/>
    <col min="1286" max="1286" width="16.5703125" style="16" customWidth="1"/>
    <col min="1287" max="1287" width="17.85546875" style="16" customWidth="1"/>
    <col min="1288" max="1288" width="3.140625" style="16" customWidth="1"/>
    <col min="1289" max="1289" width="50" style="16" customWidth="1"/>
    <col min="1290" max="1294" width="13" style="16" bestFit="1" customWidth="1"/>
    <col min="1295" max="1296" width="14.7109375" style="16" customWidth="1"/>
    <col min="1297" max="1297" width="15.7109375" style="16" customWidth="1"/>
    <col min="1298" max="1298" width="15" style="16" customWidth="1"/>
    <col min="1299" max="1299" width="17" style="16" customWidth="1"/>
    <col min="1300" max="1300" width="16.42578125" style="16" customWidth="1"/>
    <col min="1301" max="1301" width="17.42578125" style="16" customWidth="1"/>
    <col min="1302" max="1536" width="11.42578125" style="16"/>
    <col min="1537" max="1537" width="61.28515625" style="16" bestFit="1" customWidth="1"/>
    <col min="1538" max="1538" width="22.28515625" style="16" customWidth="1"/>
    <col min="1539" max="1539" width="20" style="16" customWidth="1"/>
    <col min="1540" max="1540" width="21.7109375" style="16" customWidth="1"/>
    <col min="1541" max="1541" width="19" style="16" customWidth="1"/>
    <col min="1542" max="1542" width="16.5703125" style="16" customWidth="1"/>
    <col min="1543" max="1543" width="17.85546875" style="16" customWidth="1"/>
    <col min="1544" max="1544" width="3.140625" style="16" customWidth="1"/>
    <col min="1545" max="1545" width="50" style="16" customWidth="1"/>
    <col min="1546" max="1550" width="13" style="16" bestFit="1" customWidth="1"/>
    <col min="1551" max="1552" width="14.7109375" style="16" customWidth="1"/>
    <col min="1553" max="1553" width="15.7109375" style="16" customWidth="1"/>
    <col min="1554" max="1554" width="15" style="16" customWidth="1"/>
    <col min="1555" max="1555" width="17" style="16" customWidth="1"/>
    <col min="1556" max="1556" width="16.42578125" style="16" customWidth="1"/>
    <col min="1557" max="1557" width="17.42578125" style="16" customWidth="1"/>
    <col min="1558" max="1792" width="11.42578125" style="16"/>
    <col min="1793" max="1793" width="61.28515625" style="16" bestFit="1" customWidth="1"/>
    <col min="1794" max="1794" width="22.28515625" style="16" customWidth="1"/>
    <col min="1795" max="1795" width="20" style="16" customWidth="1"/>
    <col min="1796" max="1796" width="21.7109375" style="16" customWidth="1"/>
    <col min="1797" max="1797" width="19" style="16" customWidth="1"/>
    <col min="1798" max="1798" width="16.5703125" style="16" customWidth="1"/>
    <col min="1799" max="1799" width="17.85546875" style="16" customWidth="1"/>
    <col min="1800" max="1800" width="3.140625" style="16" customWidth="1"/>
    <col min="1801" max="1801" width="50" style="16" customWidth="1"/>
    <col min="1802" max="1806" width="13" style="16" bestFit="1" customWidth="1"/>
    <col min="1807" max="1808" width="14.7109375" style="16" customWidth="1"/>
    <col min="1809" max="1809" width="15.7109375" style="16" customWidth="1"/>
    <col min="1810" max="1810" width="15" style="16" customWidth="1"/>
    <col min="1811" max="1811" width="17" style="16" customWidth="1"/>
    <col min="1812" max="1812" width="16.42578125" style="16" customWidth="1"/>
    <col min="1813" max="1813" width="17.42578125" style="16" customWidth="1"/>
    <col min="1814" max="2048" width="11.42578125" style="16"/>
    <col min="2049" max="2049" width="61.28515625" style="16" bestFit="1" customWidth="1"/>
    <col min="2050" max="2050" width="22.28515625" style="16" customWidth="1"/>
    <col min="2051" max="2051" width="20" style="16" customWidth="1"/>
    <col min="2052" max="2052" width="21.7109375" style="16" customWidth="1"/>
    <col min="2053" max="2053" width="19" style="16" customWidth="1"/>
    <col min="2054" max="2054" width="16.5703125" style="16" customWidth="1"/>
    <col min="2055" max="2055" width="17.85546875" style="16" customWidth="1"/>
    <col min="2056" max="2056" width="3.140625" style="16" customWidth="1"/>
    <col min="2057" max="2057" width="50" style="16" customWidth="1"/>
    <col min="2058" max="2062" width="13" style="16" bestFit="1" customWidth="1"/>
    <col min="2063" max="2064" width="14.7109375" style="16" customWidth="1"/>
    <col min="2065" max="2065" width="15.7109375" style="16" customWidth="1"/>
    <col min="2066" max="2066" width="15" style="16" customWidth="1"/>
    <col min="2067" max="2067" width="17" style="16" customWidth="1"/>
    <col min="2068" max="2068" width="16.42578125" style="16" customWidth="1"/>
    <col min="2069" max="2069" width="17.42578125" style="16" customWidth="1"/>
    <col min="2070" max="2304" width="11.42578125" style="16"/>
    <col min="2305" max="2305" width="61.28515625" style="16" bestFit="1" customWidth="1"/>
    <col min="2306" max="2306" width="22.28515625" style="16" customWidth="1"/>
    <col min="2307" max="2307" width="20" style="16" customWidth="1"/>
    <col min="2308" max="2308" width="21.7109375" style="16" customWidth="1"/>
    <col min="2309" max="2309" width="19" style="16" customWidth="1"/>
    <col min="2310" max="2310" width="16.5703125" style="16" customWidth="1"/>
    <col min="2311" max="2311" width="17.85546875" style="16" customWidth="1"/>
    <col min="2312" max="2312" width="3.140625" style="16" customWidth="1"/>
    <col min="2313" max="2313" width="50" style="16" customWidth="1"/>
    <col min="2314" max="2318" width="13" style="16" bestFit="1" customWidth="1"/>
    <col min="2319" max="2320" width="14.7109375" style="16" customWidth="1"/>
    <col min="2321" max="2321" width="15.7109375" style="16" customWidth="1"/>
    <col min="2322" max="2322" width="15" style="16" customWidth="1"/>
    <col min="2323" max="2323" width="17" style="16" customWidth="1"/>
    <col min="2324" max="2324" width="16.42578125" style="16" customWidth="1"/>
    <col min="2325" max="2325" width="17.42578125" style="16" customWidth="1"/>
    <col min="2326" max="2560" width="11.42578125" style="16"/>
    <col min="2561" max="2561" width="61.28515625" style="16" bestFit="1" customWidth="1"/>
    <col min="2562" max="2562" width="22.28515625" style="16" customWidth="1"/>
    <col min="2563" max="2563" width="20" style="16" customWidth="1"/>
    <col min="2564" max="2564" width="21.7109375" style="16" customWidth="1"/>
    <col min="2565" max="2565" width="19" style="16" customWidth="1"/>
    <col min="2566" max="2566" width="16.5703125" style="16" customWidth="1"/>
    <col min="2567" max="2567" width="17.85546875" style="16" customWidth="1"/>
    <col min="2568" max="2568" width="3.140625" style="16" customWidth="1"/>
    <col min="2569" max="2569" width="50" style="16" customWidth="1"/>
    <col min="2570" max="2574" width="13" style="16" bestFit="1" customWidth="1"/>
    <col min="2575" max="2576" width="14.7109375" style="16" customWidth="1"/>
    <col min="2577" max="2577" width="15.7109375" style="16" customWidth="1"/>
    <col min="2578" max="2578" width="15" style="16" customWidth="1"/>
    <col min="2579" max="2579" width="17" style="16" customWidth="1"/>
    <col min="2580" max="2580" width="16.42578125" style="16" customWidth="1"/>
    <col min="2581" max="2581" width="17.42578125" style="16" customWidth="1"/>
    <col min="2582" max="2816" width="11.42578125" style="16"/>
    <col min="2817" max="2817" width="61.28515625" style="16" bestFit="1" customWidth="1"/>
    <col min="2818" max="2818" width="22.28515625" style="16" customWidth="1"/>
    <col min="2819" max="2819" width="20" style="16" customWidth="1"/>
    <col min="2820" max="2820" width="21.7109375" style="16" customWidth="1"/>
    <col min="2821" max="2821" width="19" style="16" customWidth="1"/>
    <col min="2822" max="2822" width="16.5703125" style="16" customWidth="1"/>
    <col min="2823" max="2823" width="17.85546875" style="16" customWidth="1"/>
    <col min="2824" max="2824" width="3.140625" style="16" customWidth="1"/>
    <col min="2825" max="2825" width="50" style="16" customWidth="1"/>
    <col min="2826" max="2830" width="13" style="16" bestFit="1" customWidth="1"/>
    <col min="2831" max="2832" width="14.7109375" style="16" customWidth="1"/>
    <col min="2833" max="2833" width="15.7109375" style="16" customWidth="1"/>
    <col min="2834" max="2834" width="15" style="16" customWidth="1"/>
    <col min="2835" max="2835" width="17" style="16" customWidth="1"/>
    <col min="2836" max="2836" width="16.42578125" style="16" customWidth="1"/>
    <col min="2837" max="2837" width="17.42578125" style="16" customWidth="1"/>
    <col min="2838" max="3072" width="11.42578125" style="16"/>
    <col min="3073" max="3073" width="61.28515625" style="16" bestFit="1" customWidth="1"/>
    <col min="3074" max="3074" width="22.28515625" style="16" customWidth="1"/>
    <col min="3075" max="3075" width="20" style="16" customWidth="1"/>
    <col min="3076" max="3076" width="21.7109375" style="16" customWidth="1"/>
    <col min="3077" max="3077" width="19" style="16" customWidth="1"/>
    <col min="3078" max="3078" width="16.5703125" style="16" customWidth="1"/>
    <col min="3079" max="3079" width="17.85546875" style="16" customWidth="1"/>
    <col min="3080" max="3080" width="3.140625" style="16" customWidth="1"/>
    <col min="3081" max="3081" width="50" style="16" customWidth="1"/>
    <col min="3082" max="3086" width="13" style="16" bestFit="1" customWidth="1"/>
    <col min="3087" max="3088" width="14.7109375" style="16" customWidth="1"/>
    <col min="3089" max="3089" width="15.7109375" style="16" customWidth="1"/>
    <col min="3090" max="3090" width="15" style="16" customWidth="1"/>
    <col min="3091" max="3091" width="17" style="16" customWidth="1"/>
    <col min="3092" max="3092" width="16.42578125" style="16" customWidth="1"/>
    <col min="3093" max="3093" width="17.42578125" style="16" customWidth="1"/>
    <col min="3094" max="3328" width="11.42578125" style="16"/>
    <col min="3329" max="3329" width="61.28515625" style="16" bestFit="1" customWidth="1"/>
    <col min="3330" max="3330" width="22.28515625" style="16" customWidth="1"/>
    <col min="3331" max="3331" width="20" style="16" customWidth="1"/>
    <col min="3332" max="3332" width="21.7109375" style="16" customWidth="1"/>
    <col min="3333" max="3333" width="19" style="16" customWidth="1"/>
    <col min="3334" max="3334" width="16.5703125" style="16" customWidth="1"/>
    <col min="3335" max="3335" width="17.85546875" style="16" customWidth="1"/>
    <col min="3336" max="3336" width="3.140625" style="16" customWidth="1"/>
    <col min="3337" max="3337" width="50" style="16" customWidth="1"/>
    <col min="3338" max="3342" width="13" style="16" bestFit="1" customWidth="1"/>
    <col min="3343" max="3344" width="14.7109375" style="16" customWidth="1"/>
    <col min="3345" max="3345" width="15.7109375" style="16" customWidth="1"/>
    <col min="3346" max="3346" width="15" style="16" customWidth="1"/>
    <col min="3347" max="3347" width="17" style="16" customWidth="1"/>
    <col min="3348" max="3348" width="16.42578125" style="16" customWidth="1"/>
    <col min="3349" max="3349" width="17.42578125" style="16" customWidth="1"/>
    <col min="3350" max="3584" width="11.42578125" style="16"/>
    <col min="3585" max="3585" width="61.28515625" style="16" bestFit="1" customWidth="1"/>
    <col min="3586" max="3586" width="22.28515625" style="16" customWidth="1"/>
    <col min="3587" max="3587" width="20" style="16" customWidth="1"/>
    <col min="3588" max="3588" width="21.7109375" style="16" customWidth="1"/>
    <col min="3589" max="3589" width="19" style="16" customWidth="1"/>
    <col min="3590" max="3590" width="16.5703125" style="16" customWidth="1"/>
    <col min="3591" max="3591" width="17.85546875" style="16" customWidth="1"/>
    <col min="3592" max="3592" width="3.140625" style="16" customWidth="1"/>
    <col min="3593" max="3593" width="50" style="16" customWidth="1"/>
    <col min="3594" max="3598" width="13" style="16" bestFit="1" customWidth="1"/>
    <col min="3599" max="3600" width="14.7109375" style="16" customWidth="1"/>
    <col min="3601" max="3601" width="15.7109375" style="16" customWidth="1"/>
    <col min="3602" max="3602" width="15" style="16" customWidth="1"/>
    <col min="3603" max="3603" width="17" style="16" customWidth="1"/>
    <col min="3604" max="3604" width="16.42578125" style="16" customWidth="1"/>
    <col min="3605" max="3605" width="17.42578125" style="16" customWidth="1"/>
    <col min="3606" max="3840" width="11.42578125" style="16"/>
    <col min="3841" max="3841" width="61.28515625" style="16" bestFit="1" customWidth="1"/>
    <col min="3842" max="3842" width="22.28515625" style="16" customWidth="1"/>
    <col min="3843" max="3843" width="20" style="16" customWidth="1"/>
    <col min="3844" max="3844" width="21.7109375" style="16" customWidth="1"/>
    <col min="3845" max="3845" width="19" style="16" customWidth="1"/>
    <col min="3846" max="3846" width="16.5703125" style="16" customWidth="1"/>
    <col min="3847" max="3847" width="17.85546875" style="16" customWidth="1"/>
    <col min="3848" max="3848" width="3.140625" style="16" customWidth="1"/>
    <col min="3849" max="3849" width="50" style="16" customWidth="1"/>
    <col min="3850" max="3854" width="13" style="16" bestFit="1" customWidth="1"/>
    <col min="3855" max="3856" width="14.7109375" style="16" customWidth="1"/>
    <col min="3857" max="3857" width="15.7109375" style="16" customWidth="1"/>
    <col min="3858" max="3858" width="15" style="16" customWidth="1"/>
    <col min="3859" max="3859" width="17" style="16" customWidth="1"/>
    <col min="3860" max="3860" width="16.42578125" style="16" customWidth="1"/>
    <col min="3861" max="3861" width="17.42578125" style="16" customWidth="1"/>
    <col min="3862" max="4096" width="11.42578125" style="16"/>
    <col min="4097" max="4097" width="61.28515625" style="16" bestFit="1" customWidth="1"/>
    <col min="4098" max="4098" width="22.28515625" style="16" customWidth="1"/>
    <col min="4099" max="4099" width="20" style="16" customWidth="1"/>
    <col min="4100" max="4100" width="21.7109375" style="16" customWidth="1"/>
    <col min="4101" max="4101" width="19" style="16" customWidth="1"/>
    <col min="4102" max="4102" width="16.5703125" style="16" customWidth="1"/>
    <col min="4103" max="4103" width="17.85546875" style="16" customWidth="1"/>
    <col min="4104" max="4104" width="3.140625" style="16" customWidth="1"/>
    <col min="4105" max="4105" width="50" style="16" customWidth="1"/>
    <col min="4106" max="4110" width="13" style="16" bestFit="1" customWidth="1"/>
    <col min="4111" max="4112" width="14.7109375" style="16" customWidth="1"/>
    <col min="4113" max="4113" width="15.7109375" style="16" customWidth="1"/>
    <col min="4114" max="4114" width="15" style="16" customWidth="1"/>
    <col min="4115" max="4115" width="17" style="16" customWidth="1"/>
    <col min="4116" max="4116" width="16.42578125" style="16" customWidth="1"/>
    <col min="4117" max="4117" width="17.42578125" style="16" customWidth="1"/>
    <col min="4118" max="4352" width="11.42578125" style="16"/>
    <col min="4353" max="4353" width="61.28515625" style="16" bestFit="1" customWidth="1"/>
    <col min="4354" max="4354" width="22.28515625" style="16" customWidth="1"/>
    <col min="4355" max="4355" width="20" style="16" customWidth="1"/>
    <col min="4356" max="4356" width="21.7109375" style="16" customWidth="1"/>
    <col min="4357" max="4357" width="19" style="16" customWidth="1"/>
    <col min="4358" max="4358" width="16.5703125" style="16" customWidth="1"/>
    <col min="4359" max="4359" width="17.85546875" style="16" customWidth="1"/>
    <col min="4360" max="4360" width="3.140625" style="16" customWidth="1"/>
    <col min="4361" max="4361" width="50" style="16" customWidth="1"/>
    <col min="4362" max="4366" width="13" style="16" bestFit="1" customWidth="1"/>
    <col min="4367" max="4368" width="14.7109375" style="16" customWidth="1"/>
    <col min="4369" max="4369" width="15.7109375" style="16" customWidth="1"/>
    <col min="4370" max="4370" width="15" style="16" customWidth="1"/>
    <col min="4371" max="4371" width="17" style="16" customWidth="1"/>
    <col min="4372" max="4372" width="16.42578125" style="16" customWidth="1"/>
    <col min="4373" max="4373" width="17.42578125" style="16" customWidth="1"/>
    <col min="4374" max="4608" width="11.42578125" style="16"/>
    <col min="4609" max="4609" width="61.28515625" style="16" bestFit="1" customWidth="1"/>
    <col min="4610" max="4610" width="22.28515625" style="16" customWidth="1"/>
    <col min="4611" max="4611" width="20" style="16" customWidth="1"/>
    <col min="4612" max="4612" width="21.7109375" style="16" customWidth="1"/>
    <col min="4613" max="4613" width="19" style="16" customWidth="1"/>
    <col min="4614" max="4614" width="16.5703125" style="16" customWidth="1"/>
    <col min="4615" max="4615" width="17.85546875" style="16" customWidth="1"/>
    <col min="4616" max="4616" width="3.140625" style="16" customWidth="1"/>
    <col min="4617" max="4617" width="50" style="16" customWidth="1"/>
    <col min="4618" max="4622" width="13" style="16" bestFit="1" customWidth="1"/>
    <col min="4623" max="4624" width="14.7109375" style="16" customWidth="1"/>
    <col min="4625" max="4625" width="15.7109375" style="16" customWidth="1"/>
    <col min="4626" max="4626" width="15" style="16" customWidth="1"/>
    <col min="4627" max="4627" width="17" style="16" customWidth="1"/>
    <col min="4628" max="4628" width="16.42578125" style="16" customWidth="1"/>
    <col min="4629" max="4629" width="17.42578125" style="16" customWidth="1"/>
    <col min="4630" max="4864" width="11.42578125" style="16"/>
    <col min="4865" max="4865" width="61.28515625" style="16" bestFit="1" customWidth="1"/>
    <col min="4866" max="4866" width="22.28515625" style="16" customWidth="1"/>
    <col min="4867" max="4867" width="20" style="16" customWidth="1"/>
    <col min="4868" max="4868" width="21.7109375" style="16" customWidth="1"/>
    <col min="4869" max="4869" width="19" style="16" customWidth="1"/>
    <col min="4870" max="4870" width="16.5703125" style="16" customWidth="1"/>
    <col min="4871" max="4871" width="17.85546875" style="16" customWidth="1"/>
    <col min="4872" max="4872" width="3.140625" style="16" customWidth="1"/>
    <col min="4873" max="4873" width="50" style="16" customWidth="1"/>
    <col min="4874" max="4878" width="13" style="16" bestFit="1" customWidth="1"/>
    <col min="4879" max="4880" width="14.7109375" style="16" customWidth="1"/>
    <col min="4881" max="4881" width="15.7109375" style="16" customWidth="1"/>
    <col min="4882" max="4882" width="15" style="16" customWidth="1"/>
    <col min="4883" max="4883" width="17" style="16" customWidth="1"/>
    <col min="4884" max="4884" width="16.42578125" style="16" customWidth="1"/>
    <col min="4885" max="4885" width="17.42578125" style="16" customWidth="1"/>
    <col min="4886" max="5120" width="11.42578125" style="16"/>
    <col min="5121" max="5121" width="61.28515625" style="16" bestFit="1" customWidth="1"/>
    <col min="5122" max="5122" width="22.28515625" style="16" customWidth="1"/>
    <col min="5123" max="5123" width="20" style="16" customWidth="1"/>
    <col min="5124" max="5124" width="21.7109375" style="16" customWidth="1"/>
    <col min="5125" max="5125" width="19" style="16" customWidth="1"/>
    <col min="5126" max="5126" width="16.5703125" style="16" customWidth="1"/>
    <col min="5127" max="5127" width="17.85546875" style="16" customWidth="1"/>
    <col min="5128" max="5128" width="3.140625" style="16" customWidth="1"/>
    <col min="5129" max="5129" width="50" style="16" customWidth="1"/>
    <col min="5130" max="5134" width="13" style="16" bestFit="1" customWidth="1"/>
    <col min="5135" max="5136" width="14.7109375" style="16" customWidth="1"/>
    <col min="5137" max="5137" width="15.7109375" style="16" customWidth="1"/>
    <col min="5138" max="5138" width="15" style="16" customWidth="1"/>
    <col min="5139" max="5139" width="17" style="16" customWidth="1"/>
    <col min="5140" max="5140" width="16.42578125" style="16" customWidth="1"/>
    <col min="5141" max="5141" width="17.42578125" style="16" customWidth="1"/>
    <col min="5142" max="5376" width="11.42578125" style="16"/>
    <col min="5377" max="5377" width="61.28515625" style="16" bestFit="1" customWidth="1"/>
    <col min="5378" max="5378" width="22.28515625" style="16" customWidth="1"/>
    <col min="5379" max="5379" width="20" style="16" customWidth="1"/>
    <col min="5380" max="5380" width="21.7109375" style="16" customWidth="1"/>
    <col min="5381" max="5381" width="19" style="16" customWidth="1"/>
    <col min="5382" max="5382" width="16.5703125" style="16" customWidth="1"/>
    <col min="5383" max="5383" width="17.85546875" style="16" customWidth="1"/>
    <col min="5384" max="5384" width="3.140625" style="16" customWidth="1"/>
    <col min="5385" max="5385" width="50" style="16" customWidth="1"/>
    <col min="5386" max="5390" width="13" style="16" bestFit="1" customWidth="1"/>
    <col min="5391" max="5392" width="14.7109375" style="16" customWidth="1"/>
    <col min="5393" max="5393" width="15.7109375" style="16" customWidth="1"/>
    <col min="5394" max="5394" width="15" style="16" customWidth="1"/>
    <col min="5395" max="5395" width="17" style="16" customWidth="1"/>
    <col min="5396" max="5396" width="16.42578125" style="16" customWidth="1"/>
    <col min="5397" max="5397" width="17.42578125" style="16" customWidth="1"/>
    <col min="5398" max="5632" width="11.42578125" style="16"/>
    <col min="5633" max="5633" width="61.28515625" style="16" bestFit="1" customWidth="1"/>
    <col min="5634" max="5634" width="22.28515625" style="16" customWidth="1"/>
    <col min="5635" max="5635" width="20" style="16" customWidth="1"/>
    <col min="5636" max="5636" width="21.7109375" style="16" customWidth="1"/>
    <col min="5637" max="5637" width="19" style="16" customWidth="1"/>
    <col min="5638" max="5638" width="16.5703125" style="16" customWidth="1"/>
    <col min="5639" max="5639" width="17.85546875" style="16" customWidth="1"/>
    <col min="5640" max="5640" width="3.140625" style="16" customWidth="1"/>
    <col min="5641" max="5641" width="50" style="16" customWidth="1"/>
    <col min="5642" max="5646" width="13" style="16" bestFit="1" customWidth="1"/>
    <col min="5647" max="5648" width="14.7109375" style="16" customWidth="1"/>
    <col min="5649" max="5649" width="15.7109375" style="16" customWidth="1"/>
    <col min="5650" max="5650" width="15" style="16" customWidth="1"/>
    <col min="5651" max="5651" width="17" style="16" customWidth="1"/>
    <col min="5652" max="5652" width="16.42578125" style="16" customWidth="1"/>
    <col min="5653" max="5653" width="17.42578125" style="16" customWidth="1"/>
    <col min="5654" max="5888" width="11.42578125" style="16"/>
    <col min="5889" max="5889" width="61.28515625" style="16" bestFit="1" customWidth="1"/>
    <col min="5890" max="5890" width="22.28515625" style="16" customWidth="1"/>
    <col min="5891" max="5891" width="20" style="16" customWidth="1"/>
    <col min="5892" max="5892" width="21.7109375" style="16" customWidth="1"/>
    <col min="5893" max="5893" width="19" style="16" customWidth="1"/>
    <col min="5894" max="5894" width="16.5703125" style="16" customWidth="1"/>
    <col min="5895" max="5895" width="17.85546875" style="16" customWidth="1"/>
    <col min="5896" max="5896" width="3.140625" style="16" customWidth="1"/>
    <col min="5897" max="5897" width="50" style="16" customWidth="1"/>
    <col min="5898" max="5902" width="13" style="16" bestFit="1" customWidth="1"/>
    <col min="5903" max="5904" width="14.7109375" style="16" customWidth="1"/>
    <col min="5905" max="5905" width="15.7109375" style="16" customWidth="1"/>
    <col min="5906" max="5906" width="15" style="16" customWidth="1"/>
    <col min="5907" max="5907" width="17" style="16" customWidth="1"/>
    <col min="5908" max="5908" width="16.42578125" style="16" customWidth="1"/>
    <col min="5909" max="5909" width="17.42578125" style="16" customWidth="1"/>
    <col min="5910" max="6144" width="11.42578125" style="16"/>
    <col min="6145" max="6145" width="61.28515625" style="16" bestFit="1" customWidth="1"/>
    <col min="6146" max="6146" width="22.28515625" style="16" customWidth="1"/>
    <col min="6147" max="6147" width="20" style="16" customWidth="1"/>
    <col min="6148" max="6148" width="21.7109375" style="16" customWidth="1"/>
    <col min="6149" max="6149" width="19" style="16" customWidth="1"/>
    <col min="6150" max="6150" width="16.5703125" style="16" customWidth="1"/>
    <col min="6151" max="6151" width="17.85546875" style="16" customWidth="1"/>
    <col min="6152" max="6152" width="3.140625" style="16" customWidth="1"/>
    <col min="6153" max="6153" width="50" style="16" customWidth="1"/>
    <col min="6154" max="6158" width="13" style="16" bestFit="1" customWidth="1"/>
    <col min="6159" max="6160" width="14.7109375" style="16" customWidth="1"/>
    <col min="6161" max="6161" width="15.7109375" style="16" customWidth="1"/>
    <col min="6162" max="6162" width="15" style="16" customWidth="1"/>
    <col min="6163" max="6163" width="17" style="16" customWidth="1"/>
    <col min="6164" max="6164" width="16.42578125" style="16" customWidth="1"/>
    <col min="6165" max="6165" width="17.42578125" style="16" customWidth="1"/>
    <col min="6166" max="6400" width="11.42578125" style="16"/>
    <col min="6401" max="6401" width="61.28515625" style="16" bestFit="1" customWidth="1"/>
    <col min="6402" max="6402" width="22.28515625" style="16" customWidth="1"/>
    <col min="6403" max="6403" width="20" style="16" customWidth="1"/>
    <col min="6404" max="6404" width="21.7109375" style="16" customWidth="1"/>
    <col min="6405" max="6405" width="19" style="16" customWidth="1"/>
    <col min="6406" max="6406" width="16.5703125" style="16" customWidth="1"/>
    <col min="6407" max="6407" width="17.85546875" style="16" customWidth="1"/>
    <col min="6408" max="6408" width="3.140625" style="16" customWidth="1"/>
    <col min="6409" max="6409" width="50" style="16" customWidth="1"/>
    <col min="6410" max="6414" width="13" style="16" bestFit="1" customWidth="1"/>
    <col min="6415" max="6416" width="14.7109375" style="16" customWidth="1"/>
    <col min="6417" max="6417" width="15.7109375" style="16" customWidth="1"/>
    <col min="6418" max="6418" width="15" style="16" customWidth="1"/>
    <col min="6419" max="6419" width="17" style="16" customWidth="1"/>
    <col min="6420" max="6420" width="16.42578125" style="16" customWidth="1"/>
    <col min="6421" max="6421" width="17.42578125" style="16" customWidth="1"/>
    <col min="6422" max="6656" width="11.42578125" style="16"/>
    <col min="6657" max="6657" width="61.28515625" style="16" bestFit="1" customWidth="1"/>
    <col min="6658" max="6658" width="22.28515625" style="16" customWidth="1"/>
    <col min="6659" max="6659" width="20" style="16" customWidth="1"/>
    <col min="6660" max="6660" width="21.7109375" style="16" customWidth="1"/>
    <col min="6661" max="6661" width="19" style="16" customWidth="1"/>
    <col min="6662" max="6662" width="16.5703125" style="16" customWidth="1"/>
    <col min="6663" max="6663" width="17.85546875" style="16" customWidth="1"/>
    <col min="6664" max="6664" width="3.140625" style="16" customWidth="1"/>
    <col min="6665" max="6665" width="50" style="16" customWidth="1"/>
    <col min="6666" max="6670" width="13" style="16" bestFit="1" customWidth="1"/>
    <col min="6671" max="6672" width="14.7109375" style="16" customWidth="1"/>
    <col min="6673" max="6673" width="15.7109375" style="16" customWidth="1"/>
    <col min="6674" max="6674" width="15" style="16" customWidth="1"/>
    <col min="6675" max="6675" width="17" style="16" customWidth="1"/>
    <col min="6676" max="6676" width="16.42578125" style="16" customWidth="1"/>
    <col min="6677" max="6677" width="17.42578125" style="16" customWidth="1"/>
    <col min="6678" max="6912" width="11.42578125" style="16"/>
    <col min="6913" max="6913" width="61.28515625" style="16" bestFit="1" customWidth="1"/>
    <col min="6914" max="6914" width="22.28515625" style="16" customWidth="1"/>
    <col min="6915" max="6915" width="20" style="16" customWidth="1"/>
    <col min="6916" max="6916" width="21.7109375" style="16" customWidth="1"/>
    <col min="6917" max="6917" width="19" style="16" customWidth="1"/>
    <col min="6918" max="6918" width="16.5703125" style="16" customWidth="1"/>
    <col min="6919" max="6919" width="17.85546875" style="16" customWidth="1"/>
    <col min="6920" max="6920" width="3.140625" style="16" customWidth="1"/>
    <col min="6921" max="6921" width="50" style="16" customWidth="1"/>
    <col min="6922" max="6926" width="13" style="16" bestFit="1" customWidth="1"/>
    <col min="6927" max="6928" width="14.7109375" style="16" customWidth="1"/>
    <col min="6929" max="6929" width="15.7109375" style="16" customWidth="1"/>
    <col min="6930" max="6930" width="15" style="16" customWidth="1"/>
    <col min="6931" max="6931" width="17" style="16" customWidth="1"/>
    <col min="6932" max="6932" width="16.42578125" style="16" customWidth="1"/>
    <col min="6933" max="6933" width="17.42578125" style="16" customWidth="1"/>
    <col min="6934" max="7168" width="11.42578125" style="16"/>
    <col min="7169" max="7169" width="61.28515625" style="16" bestFit="1" customWidth="1"/>
    <col min="7170" max="7170" width="22.28515625" style="16" customWidth="1"/>
    <col min="7171" max="7171" width="20" style="16" customWidth="1"/>
    <col min="7172" max="7172" width="21.7109375" style="16" customWidth="1"/>
    <col min="7173" max="7173" width="19" style="16" customWidth="1"/>
    <col min="7174" max="7174" width="16.5703125" style="16" customWidth="1"/>
    <col min="7175" max="7175" width="17.85546875" style="16" customWidth="1"/>
    <col min="7176" max="7176" width="3.140625" style="16" customWidth="1"/>
    <col min="7177" max="7177" width="50" style="16" customWidth="1"/>
    <col min="7178" max="7182" width="13" style="16" bestFit="1" customWidth="1"/>
    <col min="7183" max="7184" width="14.7109375" style="16" customWidth="1"/>
    <col min="7185" max="7185" width="15.7109375" style="16" customWidth="1"/>
    <col min="7186" max="7186" width="15" style="16" customWidth="1"/>
    <col min="7187" max="7187" width="17" style="16" customWidth="1"/>
    <col min="7188" max="7188" width="16.42578125" style="16" customWidth="1"/>
    <col min="7189" max="7189" width="17.42578125" style="16" customWidth="1"/>
    <col min="7190" max="7424" width="11.42578125" style="16"/>
    <col min="7425" max="7425" width="61.28515625" style="16" bestFit="1" customWidth="1"/>
    <col min="7426" max="7426" width="22.28515625" style="16" customWidth="1"/>
    <col min="7427" max="7427" width="20" style="16" customWidth="1"/>
    <col min="7428" max="7428" width="21.7109375" style="16" customWidth="1"/>
    <col min="7429" max="7429" width="19" style="16" customWidth="1"/>
    <col min="7430" max="7430" width="16.5703125" style="16" customWidth="1"/>
    <col min="7431" max="7431" width="17.85546875" style="16" customWidth="1"/>
    <col min="7432" max="7432" width="3.140625" style="16" customWidth="1"/>
    <col min="7433" max="7433" width="50" style="16" customWidth="1"/>
    <col min="7434" max="7438" width="13" style="16" bestFit="1" customWidth="1"/>
    <col min="7439" max="7440" width="14.7109375" style="16" customWidth="1"/>
    <col min="7441" max="7441" width="15.7109375" style="16" customWidth="1"/>
    <col min="7442" max="7442" width="15" style="16" customWidth="1"/>
    <col min="7443" max="7443" width="17" style="16" customWidth="1"/>
    <col min="7444" max="7444" width="16.42578125" style="16" customWidth="1"/>
    <col min="7445" max="7445" width="17.42578125" style="16" customWidth="1"/>
    <col min="7446" max="7680" width="11.42578125" style="16"/>
    <col min="7681" max="7681" width="61.28515625" style="16" bestFit="1" customWidth="1"/>
    <col min="7682" max="7682" width="22.28515625" style="16" customWidth="1"/>
    <col min="7683" max="7683" width="20" style="16" customWidth="1"/>
    <col min="7684" max="7684" width="21.7109375" style="16" customWidth="1"/>
    <col min="7685" max="7685" width="19" style="16" customWidth="1"/>
    <col min="7686" max="7686" width="16.5703125" style="16" customWidth="1"/>
    <col min="7687" max="7687" width="17.85546875" style="16" customWidth="1"/>
    <col min="7688" max="7688" width="3.140625" style="16" customWidth="1"/>
    <col min="7689" max="7689" width="50" style="16" customWidth="1"/>
    <col min="7690" max="7694" width="13" style="16" bestFit="1" customWidth="1"/>
    <col min="7695" max="7696" width="14.7109375" style="16" customWidth="1"/>
    <col min="7697" max="7697" width="15.7109375" style="16" customWidth="1"/>
    <col min="7698" max="7698" width="15" style="16" customWidth="1"/>
    <col min="7699" max="7699" width="17" style="16" customWidth="1"/>
    <col min="7700" max="7700" width="16.42578125" style="16" customWidth="1"/>
    <col min="7701" max="7701" width="17.42578125" style="16" customWidth="1"/>
    <col min="7702" max="7936" width="11.42578125" style="16"/>
    <col min="7937" max="7937" width="61.28515625" style="16" bestFit="1" customWidth="1"/>
    <col min="7938" max="7938" width="22.28515625" style="16" customWidth="1"/>
    <col min="7939" max="7939" width="20" style="16" customWidth="1"/>
    <col min="7940" max="7940" width="21.7109375" style="16" customWidth="1"/>
    <col min="7941" max="7941" width="19" style="16" customWidth="1"/>
    <col min="7942" max="7942" width="16.5703125" style="16" customWidth="1"/>
    <col min="7943" max="7943" width="17.85546875" style="16" customWidth="1"/>
    <col min="7944" max="7944" width="3.140625" style="16" customWidth="1"/>
    <col min="7945" max="7945" width="50" style="16" customWidth="1"/>
    <col min="7946" max="7950" width="13" style="16" bestFit="1" customWidth="1"/>
    <col min="7951" max="7952" width="14.7109375" style="16" customWidth="1"/>
    <col min="7953" max="7953" width="15.7109375" style="16" customWidth="1"/>
    <col min="7954" max="7954" width="15" style="16" customWidth="1"/>
    <col min="7955" max="7955" width="17" style="16" customWidth="1"/>
    <col min="7956" max="7956" width="16.42578125" style="16" customWidth="1"/>
    <col min="7957" max="7957" width="17.42578125" style="16" customWidth="1"/>
    <col min="7958" max="8192" width="11.42578125" style="16"/>
    <col min="8193" max="8193" width="61.28515625" style="16" bestFit="1" customWidth="1"/>
    <col min="8194" max="8194" width="22.28515625" style="16" customWidth="1"/>
    <col min="8195" max="8195" width="20" style="16" customWidth="1"/>
    <col min="8196" max="8196" width="21.7109375" style="16" customWidth="1"/>
    <col min="8197" max="8197" width="19" style="16" customWidth="1"/>
    <col min="8198" max="8198" width="16.5703125" style="16" customWidth="1"/>
    <col min="8199" max="8199" width="17.85546875" style="16" customWidth="1"/>
    <col min="8200" max="8200" width="3.140625" style="16" customWidth="1"/>
    <col min="8201" max="8201" width="50" style="16" customWidth="1"/>
    <col min="8202" max="8206" width="13" style="16" bestFit="1" customWidth="1"/>
    <col min="8207" max="8208" width="14.7109375" style="16" customWidth="1"/>
    <col min="8209" max="8209" width="15.7109375" style="16" customWidth="1"/>
    <col min="8210" max="8210" width="15" style="16" customWidth="1"/>
    <col min="8211" max="8211" width="17" style="16" customWidth="1"/>
    <col min="8212" max="8212" width="16.42578125" style="16" customWidth="1"/>
    <col min="8213" max="8213" width="17.42578125" style="16" customWidth="1"/>
    <col min="8214" max="8448" width="11.42578125" style="16"/>
    <col min="8449" max="8449" width="61.28515625" style="16" bestFit="1" customWidth="1"/>
    <col min="8450" max="8450" width="22.28515625" style="16" customWidth="1"/>
    <col min="8451" max="8451" width="20" style="16" customWidth="1"/>
    <col min="8452" max="8452" width="21.7109375" style="16" customWidth="1"/>
    <col min="8453" max="8453" width="19" style="16" customWidth="1"/>
    <col min="8454" max="8454" width="16.5703125" style="16" customWidth="1"/>
    <col min="8455" max="8455" width="17.85546875" style="16" customWidth="1"/>
    <col min="8456" max="8456" width="3.140625" style="16" customWidth="1"/>
    <col min="8457" max="8457" width="50" style="16" customWidth="1"/>
    <col min="8458" max="8462" width="13" style="16" bestFit="1" customWidth="1"/>
    <col min="8463" max="8464" width="14.7109375" style="16" customWidth="1"/>
    <col min="8465" max="8465" width="15.7109375" style="16" customWidth="1"/>
    <col min="8466" max="8466" width="15" style="16" customWidth="1"/>
    <col min="8467" max="8467" width="17" style="16" customWidth="1"/>
    <col min="8468" max="8468" width="16.42578125" style="16" customWidth="1"/>
    <col min="8469" max="8469" width="17.42578125" style="16" customWidth="1"/>
    <col min="8470" max="8704" width="11.42578125" style="16"/>
    <col min="8705" max="8705" width="61.28515625" style="16" bestFit="1" customWidth="1"/>
    <col min="8706" max="8706" width="22.28515625" style="16" customWidth="1"/>
    <col min="8707" max="8707" width="20" style="16" customWidth="1"/>
    <col min="8708" max="8708" width="21.7109375" style="16" customWidth="1"/>
    <col min="8709" max="8709" width="19" style="16" customWidth="1"/>
    <col min="8710" max="8710" width="16.5703125" style="16" customWidth="1"/>
    <col min="8711" max="8711" width="17.85546875" style="16" customWidth="1"/>
    <col min="8712" max="8712" width="3.140625" style="16" customWidth="1"/>
    <col min="8713" max="8713" width="50" style="16" customWidth="1"/>
    <col min="8714" max="8718" width="13" style="16" bestFit="1" customWidth="1"/>
    <col min="8719" max="8720" width="14.7109375" style="16" customWidth="1"/>
    <col min="8721" max="8721" width="15.7109375" style="16" customWidth="1"/>
    <col min="8722" max="8722" width="15" style="16" customWidth="1"/>
    <col min="8723" max="8723" width="17" style="16" customWidth="1"/>
    <col min="8724" max="8724" width="16.42578125" style="16" customWidth="1"/>
    <col min="8725" max="8725" width="17.42578125" style="16" customWidth="1"/>
    <col min="8726" max="8960" width="11.42578125" style="16"/>
    <col min="8961" max="8961" width="61.28515625" style="16" bestFit="1" customWidth="1"/>
    <col min="8962" max="8962" width="22.28515625" style="16" customWidth="1"/>
    <col min="8963" max="8963" width="20" style="16" customWidth="1"/>
    <col min="8964" max="8964" width="21.7109375" style="16" customWidth="1"/>
    <col min="8965" max="8965" width="19" style="16" customWidth="1"/>
    <col min="8966" max="8966" width="16.5703125" style="16" customWidth="1"/>
    <col min="8967" max="8967" width="17.85546875" style="16" customWidth="1"/>
    <col min="8968" max="8968" width="3.140625" style="16" customWidth="1"/>
    <col min="8969" max="8969" width="50" style="16" customWidth="1"/>
    <col min="8970" max="8974" width="13" style="16" bestFit="1" customWidth="1"/>
    <col min="8975" max="8976" width="14.7109375" style="16" customWidth="1"/>
    <col min="8977" max="8977" width="15.7109375" style="16" customWidth="1"/>
    <col min="8978" max="8978" width="15" style="16" customWidth="1"/>
    <col min="8979" max="8979" width="17" style="16" customWidth="1"/>
    <col min="8980" max="8980" width="16.42578125" style="16" customWidth="1"/>
    <col min="8981" max="8981" width="17.42578125" style="16" customWidth="1"/>
    <col min="8982" max="9216" width="11.42578125" style="16"/>
    <col min="9217" max="9217" width="61.28515625" style="16" bestFit="1" customWidth="1"/>
    <col min="9218" max="9218" width="22.28515625" style="16" customWidth="1"/>
    <col min="9219" max="9219" width="20" style="16" customWidth="1"/>
    <col min="9220" max="9220" width="21.7109375" style="16" customWidth="1"/>
    <col min="9221" max="9221" width="19" style="16" customWidth="1"/>
    <col min="9222" max="9222" width="16.5703125" style="16" customWidth="1"/>
    <col min="9223" max="9223" width="17.85546875" style="16" customWidth="1"/>
    <col min="9224" max="9224" width="3.140625" style="16" customWidth="1"/>
    <col min="9225" max="9225" width="50" style="16" customWidth="1"/>
    <col min="9226" max="9230" width="13" style="16" bestFit="1" customWidth="1"/>
    <col min="9231" max="9232" width="14.7109375" style="16" customWidth="1"/>
    <col min="9233" max="9233" width="15.7109375" style="16" customWidth="1"/>
    <col min="9234" max="9234" width="15" style="16" customWidth="1"/>
    <col min="9235" max="9235" width="17" style="16" customWidth="1"/>
    <col min="9236" max="9236" width="16.42578125" style="16" customWidth="1"/>
    <col min="9237" max="9237" width="17.42578125" style="16" customWidth="1"/>
    <col min="9238" max="9472" width="11.42578125" style="16"/>
    <col min="9473" max="9473" width="61.28515625" style="16" bestFit="1" customWidth="1"/>
    <col min="9474" max="9474" width="22.28515625" style="16" customWidth="1"/>
    <col min="9475" max="9475" width="20" style="16" customWidth="1"/>
    <col min="9476" max="9476" width="21.7109375" style="16" customWidth="1"/>
    <col min="9477" max="9477" width="19" style="16" customWidth="1"/>
    <col min="9478" max="9478" width="16.5703125" style="16" customWidth="1"/>
    <col min="9479" max="9479" width="17.85546875" style="16" customWidth="1"/>
    <col min="9480" max="9480" width="3.140625" style="16" customWidth="1"/>
    <col min="9481" max="9481" width="50" style="16" customWidth="1"/>
    <col min="9482" max="9486" width="13" style="16" bestFit="1" customWidth="1"/>
    <col min="9487" max="9488" width="14.7109375" style="16" customWidth="1"/>
    <col min="9489" max="9489" width="15.7109375" style="16" customWidth="1"/>
    <col min="9490" max="9490" width="15" style="16" customWidth="1"/>
    <col min="9491" max="9491" width="17" style="16" customWidth="1"/>
    <col min="9492" max="9492" width="16.42578125" style="16" customWidth="1"/>
    <col min="9493" max="9493" width="17.42578125" style="16" customWidth="1"/>
    <col min="9494" max="9728" width="11.42578125" style="16"/>
    <col min="9729" max="9729" width="61.28515625" style="16" bestFit="1" customWidth="1"/>
    <col min="9730" max="9730" width="22.28515625" style="16" customWidth="1"/>
    <col min="9731" max="9731" width="20" style="16" customWidth="1"/>
    <col min="9732" max="9732" width="21.7109375" style="16" customWidth="1"/>
    <col min="9733" max="9733" width="19" style="16" customWidth="1"/>
    <col min="9734" max="9734" width="16.5703125" style="16" customWidth="1"/>
    <col min="9735" max="9735" width="17.85546875" style="16" customWidth="1"/>
    <col min="9736" max="9736" width="3.140625" style="16" customWidth="1"/>
    <col min="9737" max="9737" width="50" style="16" customWidth="1"/>
    <col min="9738" max="9742" width="13" style="16" bestFit="1" customWidth="1"/>
    <col min="9743" max="9744" width="14.7109375" style="16" customWidth="1"/>
    <col min="9745" max="9745" width="15.7109375" style="16" customWidth="1"/>
    <col min="9746" max="9746" width="15" style="16" customWidth="1"/>
    <col min="9747" max="9747" width="17" style="16" customWidth="1"/>
    <col min="9748" max="9748" width="16.42578125" style="16" customWidth="1"/>
    <col min="9749" max="9749" width="17.42578125" style="16" customWidth="1"/>
    <col min="9750" max="9984" width="11.42578125" style="16"/>
    <col min="9985" max="9985" width="61.28515625" style="16" bestFit="1" customWidth="1"/>
    <col min="9986" max="9986" width="22.28515625" style="16" customWidth="1"/>
    <col min="9987" max="9987" width="20" style="16" customWidth="1"/>
    <col min="9988" max="9988" width="21.7109375" style="16" customWidth="1"/>
    <col min="9989" max="9989" width="19" style="16" customWidth="1"/>
    <col min="9990" max="9990" width="16.5703125" style="16" customWidth="1"/>
    <col min="9991" max="9991" width="17.85546875" style="16" customWidth="1"/>
    <col min="9992" max="9992" width="3.140625" style="16" customWidth="1"/>
    <col min="9993" max="9993" width="50" style="16" customWidth="1"/>
    <col min="9994" max="9998" width="13" style="16" bestFit="1" customWidth="1"/>
    <col min="9999" max="10000" width="14.7109375" style="16" customWidth="1"/>
    <col min="10001" max="10001" width="15.7109375" style="16" customWidth="1"/>
    <col min="10002" max="10002" width="15" style="16" customWidth="1"/>
    <col min="10003" max="10003" width="17" style="16" customWidth="1"/>
    <col min="10004" max="10004" width="16.42578125" style="16" customWidth="1"/>
    <col min="10005" max="10005" width="17.42578125" style="16" customWidth="1"/>
    <col min="10006" max="10240" width="11.42578125" style="16"/>
    <col min="10241" max="10241" width="61.28515625" style="16" bestFit="1" customWidth="1"/>
    <col min="10242" max="10242" width="22.28515625" style="16" customWidth="1"/>
    <col min="10243" max="10243" width="20" style="16" customWidth="1"/>
    <col min="10244" max="10244" width="21.7109375" style="16" customWidth="1"/>
    <col min="10245" max="10245" width="19" style="16" customWidth="1"/>
    <col min="10246" max="10246" width="16.5703125" style="16" customWidth="1"/>
    <col min="10247" max="10247" width="17.85546875" style="16" customWidth="1"/>
    <col min="10248" max="10248" width="3.140625" style="16" customWidth="1"/>
    <col min="10249" max="10249" width="50" style="16" customWidth="1"/>
    <col min="10250" max="10254" width="13" style="16" bestFit="1" customWidth="1"/>
    <col min="10255" max="10256" width="14.7109375" style="16" customWidth="1"/>
    <col min="10257" max="10257" width="15.7109375" style="16" customWidth="1"/>
    <col min="10258" max="10258" width="15" style="16" customWidth="1"/>
    <col min="10259" max="10259" width="17" style="16" customWidth="1"/>
    <col min="10260" max="10260" width="16.42578125" style="16" customWidth="1"/>
    <col min="10261" max="10261" width="17.42578125" style="16" customWidth="1"/>
    <col min="10262" max="10496" width="11.42578125" style="16"/>
    <col min="10497" max="10497" width="61.28515625" style="16" bestFit="1" customWidth="1"/>
    <col min="10498" max="10498" width="22.28515625" style="16" customWidth="1"/>
    <col min="10499" max="10499" width="20" style="16" customWidth="1"/>
    <col min="10500" max="10500" width="21.7109375" style="16" customWidth="1"/>
    <col min="10501" max="10501" width="19" style="16" customWidth="1"/>
    <col min="10502" max="10502" width="16.5703125" style="16" customWidth="1"/>
    <col min="10503" max="10503" width="17.85546875" style="16" customWidth="1"/>
    <col min="10504" max="10504" width="3.140625" style="16" customWidth="1"/>
    <col min="10505" max="10505" width="50" style="16" customWidth="1"/>
    <col min="10506" max="10510" width="13" style="16" bestFit="1" customWidth="1"/>
    <col min="10511" max="10512" width="14.7109375" style="16" customWidth="1"/>
    <col min="10513" max="10513" width="15.7109375" style="16" customWidth="1"/>
    <col min="10514" max="10514" width="15" style="16" customWidth="1"/>
    <col min="10515" max="10515" width="17" style="16" customWidth="1"/>
    <col min="10516" max="10516" width="16.42578125" style="16" customWidth="1"/>
    <col min="10517" max="10517" width="17.42578125" style="16" customWidth="1"/>
    <col min="10518" max="10752" width="11.42578125" style="16"/>
    <col min="10753" max="10753" width="61.28515625" style="16" bestFit="1" customWidth="1"/>
    <col min="10754" max="10754" width="22.28515625" style="16" customWidth="1"/>
    <col min="10755" max="10755" width="20" style="16" customWidth="1"/>
    <col min="10756" max="10756" width="21.7109375" style="16" customWidth="1"/>
    <col min="10757" max="10757" width="19" style="16" customWidth="1"/>
    <col min="10758" max="10758" width="16.5703125" style="16" customWidth="1"/>
    <col min="10759" max="10759" width="17.85546875" style="16" customWidth="1"/>
    <col min="10760" max="10760" width="3.140625" style="16" customWidth="1"/>
    <col min="10761" max="10761" width="50" style="16" customWidth="1"/>
    <col min="10762" max="10766" width="13" style="16" bestFit="1" customWidth="1"/>
    <col min="10767" max="10768" width="14.7109375" style="16" customWidth="1"/>
    <col min="10769" max="10769" width="15.7109375" style="16" customWidth="1"/>
    <col min="10770" max="10770" width="15" style="16" customWidth="1"/>
    <col min="10771" max="10771" width="17" style="16" customWidth="1"/>
    <col min="10772" max="10772" width="16.42578125" style="16" customWidth="1"/>
    <col min="10773" max="10773" width="17.42578125" style="16" customWidth="1"/>
    <col min="10774" max="11008" width="11.42578125" style="16"/>
    <col min="11009" max="11009" width="61.28515625" style="16" bestFit="1" customWidth="1"/>
    <col min="11010" max="11010" width="22.28515625" style="16" customWidth="1"/>
    <col min="11011" max="11011" width="20" style="16" customWidth="1"/>
    <col min="11012" max="11012" width="21.7109375" style="16" customWidth="1"/>
    <col min="11013" max="11013" width="19" style="16" customWidth="1"/>
    <col min="11014" max="11014" width="16.5703125" style="16" customWidth="1"/>
    <col min="11015" max="11015" width="17.85546875" style="16" customWidth="1"/>
    <col min="11016" max="11016" width="3.140625" style="16" customWidth="1"/>
    <col min="11017" max="11017" width="50" style="16" customWidth="1"/>
    <col min="11018" max="11022" width="13" style="16" bestFit="1" customWidth="1"/>
    <col min="11023" max="11024" width="14.7109375" style="16" customWidth="1"/>
    <col min="11025" max="11025" width="15.7109375" style="16" customWidth="1"/>
    <col min="11026" max="11026" width="15" style="16" customWidth="1"/>
    <col min="11027" max="11027" width="17" style="16" customWidth="1"/>
    <col min="11028" max="11028" width="16.42578125" style="16" customWidth="1"/>
    <col min="11029" max="11029" width="17.42578125" style="16" customWidth="1"/>
    <col min="11030" max="11264" width="11.42578125" style="16"/>
    <col min="11265" max="11265" width="61.28515625" style="16" bestFit="1" customWidth="1"/>
    <col min="11266" max="11266" width="22.28515625" style="16" customWidth="1"/>
    <col min="11267" max="11267" width="20" style="16" customWidth="1"/>
    <col min="11268" max="11268" width="21.7109375" style="16" customWidth="1"/>
    <col min="11269" max="11269" width="19" style="16" customWidth="1"/>
    <col min="11270" max="11270" width="16.5703125" style="16" customWidth="1"/>
    <col min="11271" max="11271" width="17.85546875" style="16" customWidth="1"/>
    <col min="11272" max="11272" width="3.140625" style="16" customWidth="1"/>
    <col min="11273" max="11273" width="50" style="16" customWidth="1"/>
    <col min="11274" max="11278" width="13" style="16" bestFit="1" customWidth="1"/>
    <col min="11279" max="11280" width="14.7109375" style="16" customWidth="1"/>
    <col min="11281" max="11281" width="15.7109375" style="16" customWidth="1"/>
    <col min="11282" max="11282" width="15" style="16" customWidth="1"/>
    <col min="11283" max="11283" width="17" style="16" customWidth="1"/>
    <col min="11284" max="11284" width="16.42578125" style="16" customWidth="1"/>
    <col min="11285" max="11285" width="17.42578125" style="16" customWidth="1"/>
    <col min="11286" max="11520" width="11.42578125" style="16"/>
    <col min="11521" max="11521" width="61.28515625" style="16" bestFit="1" customWidth="1"/>
    <col min="11522" max="11522" width="22.28515625" style="16" customWidth="1"/>
    <col min="11523" max="11523" width="20" style="16" customWidth="1"/>
    <col min="11524" max="11524" width="21.7109375" style="16" customWidth="1"/>
    <col min="11525" max="11525" width="19" style="16" customWidth="1"/>
    <col min="11526" max="11526" width="16.5703125" style="16" customWidth="1"/>
    <col min="11527" max="11527" width="17.85546875" style="16" customWidth="1"/>
    <col min="11528" max="11528" width="3.140625" style="16" customWidth="1"/>
    <col min="11529" max="11529" width="50" style="16" customWidth="1"/>
    <col min="11530" max="11534" width="13" style="16" bestFit="1" customWidth="1"/>
    <col min="11535" max="11536" width="14.7109375" style="16" customWidth="1"/>
    <col min="11537" max="11537" width="15.7109375" style="16" customWidth="1"/>
    <col min="11538" max="11538" width="15" style="16" customWidth="1"/>
    <col min="11539" max="11539" width="17" style="16" customWidth="1"/>
    <col min="11540" max="11540" width="16.42578125" style="16" customWidth="1"/>
    <col min="11541" max="11541" width="17.42578125" style="16" customWidth="1"/>
    <col min="11542" max="11776" width="11.42578125" style="16"/>
    <col min="11777" max="11777" width="61.28515625" style="16" bestFit="1" customWidth="1"/>
    <col min="11778" max="11778" width="22.28515625" style="16" customWidth="1"/>
    <col min="11779" max="11779" width="20" style="16" customWidth="1"/>
    <col min="11780" max="11780" width="21.7109375" style="16" customWidth="1"/>
    <col min="11781" max="11781" width="19" style="16" customWidth="1"/>
    <col min="11782" max="11782" width="16.5703125" style="16" customWidth="1"/>
    <col min="11783" max="11783" width="17.85546875" style="16" customWidth="1"/>
    <col min="11784" max="11784" width="3.140625" style="16" customWidth="1"/>
    <col min="11785" max="11785" width="50" style="16" customWidth="1"/>
    <col min="11786" max="11790" width="13" style="16" bestFit="1" customWidth="1"/>
    <col min="11791" max="11792" width="14.7109375" style="16" customWidth="1"/>
    <col min="11793" max="11793" width="15.7109375" style="16" customWidth="1"/>
    <col min="11794" max="11794" width="15" style="16" customWidth="1"/>
    <col min="11795" max="11795" width="17" style="16" customWidth="1"/>
    <col min="11796" max="11796" width="16.42578125" style="16" customWidth="1"/>
    <col min="11797" max="11797" width="17.42578125" style="16" customWidth="1"/>
    <col min="11798" max="12032" width="11.42578125" style="16"/>
    <col min="12033" max="12033" width="61.28515625" style="16" bestFit="1" customWidth="1"/>
    <col min="12034" max="12034" width="22.28515625" style="16" customWidth="1"/>
    <col min="12035" max="12035" width="20" style="16" customWidth="1"/>
    <col min="12036" max="12036" width="21.7109375" style="16" customWidth="1"/>
    <col min="12037" max="12037" width="19" style="16" customWidth="1"/>
    <col min="12038" max="12038" width="16.5703125" style="16" customWidth="1"/>
    <col min="12039" max="12039" width="17.85546875" style="16" customWidth="1"/>
    <col min="12040" max="12040" width="3.140625" style="16" customWidth="1"/>
    <col min="12041" max="12041" width="50" style="16" customWidth="1"/>
    <col min="12042" max="12046" width="13" style="16" bestFit="1" customWidth="1"/>
    <col min="12047" max="12048" width="14.7109375" style="16" customWidth="1"/>
    <col min="12049" max="12049" width="15.7109375" style="16" customWidth="1"/>
    <col min="12050" max="12050" width="15" style="16" customWidth="1"/>
    <col min="12051" max="12051" width="17" style="16" customWidth="1"/>
    <col min="12052" max="12052" width="16.42578125" style="16" customWidth="1"/>
    <col min="12053" max="12053" width="17.42578125" style="16" customWidth="1"/>
    <col min="12054" max="12288" width="11.42578125" style="16"/>
    <col min="12289" max="12289" width="61.28515625" style="16" bestFit="1" customWidth="1"/>
    <col min="12290" max="12290" width="22.28515625" style="16" customWidth="1"/>
    <col min="12291" max="12291" width="20" style="16" customWidth="1"/>
    <col min="12292" max="12292" width="21.7109375" style="16" customWidth="1"/>
    <col min="12293" max="12293" width="19" style="16" customWidth="1"/>
    <col min="12294" max="12294" width="16.5703125" style="16" customWidth="1"/>
    <col min="12295" max="12295" width="17.85546875" style="16" customWidth="1"/>
    <col min="12296" max="12296" width="3.140625" style="16" customWidth="1"/>
    <col min="12297" max="12297" width="50" style="16" customWidth="1"/>
    <col min="12298" max="12302" width="13" style="16" bestFit="1" customWidth="1"/>
    <col min="12303" max="12304" width="14.7109375" style="16" customWidth="1"/>
    <col min="12305" max="12305" width="15.7109375" style="16" customWidth="1"/>
    <col min="12306" max="12306" width="15" style="16" customWidth="1"/>
    <col min="12307" max="12307" width="17" style="16" customWidth="1"/>
    <col min="12308" max="12308" width="16.42578125" style="16" customWidth="1"/>
    <col min="12309" max="12309" width="17.42578125" style="16" customWidth="1"/>
    <col min="12310" max="12544" width="11.42578125" style="16"/>
    <col min="12545" max="12545" width="61.28515625" style="16" bestFit="1" customWidth="1"/>
    <col min="12546" max="12546" width="22.28515625" style="16" customWidth="1"/>
    <col min="12547" max="12547" width="20" style="16" customWidth="1"/>
    <col min="12548" max="12548" width="21.7109375" style="16" customWidth="1"/>
    <col min="12549" max="12549" width="19" style="16" customWidth="1"/>
    <col min="12550" max="12550" width="16.5703125" style="16" customWidth="1"/>
    <col min="12551" max="12551" width="17.85546875" style="16" customWidth="1"/>
    <col min="12552" max="12552" width="3.140625" style="16" customWidth="1"/>
    <col min="12553" max="12553" width="50" style="16" customWidth="1"/>
    <col min="12554" max="12558" width="13" style="16" bestFit="1" customWidth="1"/>
    <col min="12559" max="12560" width="14.7109375" style="16" customWidth="1"/>
    <col min="12561" max="12561" width="15.7109375" style="16" customWidth="1"/>
    <col min="12562" max="12562" width="15" style="16" customWidth="1"/>
    <col min="12563" max="12563" width="17" style="16" customWidth="1"/>
    <col min="12564" max="12564" width="16.42578125" style="16" customWidth="1"/>
    <col min="12565" max="12565" width="17.42578125" style="16" customWidth="1"/>
    <col min="12566" max="12800" width="11.42578125" style="16"/>
    <col min="12801" max="12801" width="61.28515625" style="16" bestFit="1" customWidth="1"/>
    <col min="12802" max="12802" width="22.28515625" style="16" customWidth="1"/>
    <col min="12803" max="12803" width="20" style="16" customWidth="1"/>
    <col min="12804" max="12804" width="21.7109375" style="16" customWidth="1"/>
    <col min="12805" max="12805" width="19" style="16" customWidth="1"/>
    <col min="12806" max="12806" width="16.5703125" style="16" customWidth="1"/>
    <col min="12807" max="12807" width="17.85546875" style="16" customWidth="1"/>
    <col min="12808" max="12808" width="3.140625" style="16" customWidth="1"/>
    <col min="12809" max="12809" width="50" style="16" customWidth="1"/>
    <col min="12810" max="12814" width="13" style="16" bestFit="1" customWidth="1"/>
    <col min="12815" max="12816" width="14.7109375" style="16" customWidth="1"/>
    <col min="12817" max="12817" width="15.7109375" style="16" customWidth="1"/>
    <col min="12818" max="12818" width="15" style="16" customWidth="1"/>
    <col min="12819" max="12819" width="17" style="16" customWidth="1"/>
    <col min="12820" max="12820" width="16.42578125" style="16" customWidth="1"/>
    <col min="12821" max="12821" width="17.42578125" style="16" customWidth="1"/>
    <col min="12822" max="13056" width="11.42578125" style="16"/>
    <col min="13057" max="13057" width="61.28515625" style="16" bestFit="1" customWidth="1"/>
    <col min="13058" max="13058" width="22.28515625" style="16" customWidth="1"/>
    <col min="13059" max="13059" width="20" style="16" customWidth="1"/>
    <col min="13060" max="13060" width="21.7109375" style="16" customWidth="1"/>
    <col min="13061" max="13061" width="19" style="16" customWidth="1"/>
    <col min="13062" max="13062" width="16.5703125" style="16" customWidth="1"/>
    <col min="13063" max="13063" width="17.85546875" style="16" customWidth="1"/>
    <col min="13064" max="13064" width="3.140625" style="16" customWidth="1"/>
    <col min="13065" max="13065" width="50" style="16" customWidth="1"/>
    <col min="13066" max="13070" width="13" style="16" bestFit="1" customWidth="1"/>
    <col min="13071" max="13072" width="14.7109375" style="16" customWidth="1"/>
    <col min="13073" max="13073" width="15.7109375" style="16" customWidth="1"/>
    <col min="13074" max="13074" width="15" style="16" customWidth="1"/>
    <col min="13075" max="13075" width="17" style="16" customWidth="1"/>
    <col min="13076" max="13076" width="16.42578125" style="16" customWidth="1"/>
    <col min="13077" max="13077" width="17.42578125" style="16" customWidth="1"/>
    <col min="13078" max="13312" width="11.42578125" style="16"/>
    <col min="13313" max="13313" width="61.28515625" style="16" bestFit="1" customWidth="1"/>
    <col min="13314" max="13314" width="22.28515625" style="16" customWidth="1"/>
    <col min="13315" max="13315" width="20" style="16" customWidth="1"/>
    <col min="13316" max="13316" width="21.7109375" style="16" customWidth="1"/>
    <col min="13317" max="13317" width="19" style="16" customWidth="1"/>
    <col min="13318" max="13318" width="16.5703125" style="16" customWidth="1"/>
    <col min="13319" max="13319" width="17.85546875" style="16" customWidth="1"/>
    <col min="13320" max="13320" width="3.140625" style="16" customWidth="1"/>
    <col min="13321" max="13321" width="50" style="16" customWidth="1"/>
    <col min="13322" max="13326" width="13" style="16" bestFit="1" customWidth="1"/>
    <col min="13327" max="13328" width="14.7109375" style="16" customWidth="1"/>
    <col min="13329" max="13329" width="15.7109375" style="16" customWidth="1"/>
    <col min="13330" max="13330" width="15" style="16" customWidth="1"/>
    <col min="13331" max="13331" width="17" style="16" customWidth="1"/>
    <col min="13332" max="13332" width="16.42578125" style="16" customWidth="1"/>
    <col min="13333" max="13333" width="17.42578125" style="16" customWidth="1"/>
    <col min="13334" max="13568" width="11.42578125" style="16"/>
    <col min="13569" max="13569" width="61.28515625" style="16" bestFit="1" customWidth="1"/>
    <col min="13570" max="13570" width="22.28515625" style="16" customWidth="1"/>
    <col min="13571" max="13571" width="20" style="16" customWidth="1"/>
    <col min="13572" max="13572" width="21.7109375" style="16" customWidth="1"/>
    <col min="13573" max="13573" width="19" style="16" customWidth="1"/>
    <col min="13574" max="13574" width="16.5703125" style="16" customWidth="1"/>
    <col min="13575" max="13575" width="17.85546875" style="16" customWidth="1"/>
    <col min="13576" max="13576" width="3.140625" style="16" customWidth="1"/>
    <col min="13577" max="13577" width="50" style="16" customWidth="1"/>
    <col min="13578" max="13582" width="13" style="16" bestFit="1" customWidth="1"/>
    <col min="13583" max="13584" width="14.7109375" style="16" customWidth="1"/>
    <col min="13585" max="13585" width="15.7109375" style="16" customWidth="1"/>
    <col min="13586" max="13586" width="15" style="16" customWidth="1"/>
    <col min="13587" max="13587" width="17" style="16" customWidth="1"/>
    <col min="13588" max="13588" width="16.42578125" style="16" customWidth="1"/>
    <col min="13589" max="13589" width="17.42578125" style="16" customWidth="1"/>
    <col min="13590" max="13824" width="11.42578125" style="16"/>
    <col min="13825" max="13825" width="61.28515625" style="16" bestFit="1" customWidth="1"/>
    <col min="13826" max="13826" width="22.28515625" style="16" customWidth="1"/>
    <col min="13827" max="13827" width="20" style="16" customWidth="1"/>
    <col min="13828" max="13828" width="21.7109375" style="16" customWidth="1"/>
    <col min="13829" max="13829" width="19" style="16" customWidth="1"/>
    <col min="13830" max="13830" width="16.5703125" style="16" customWidth="1"/>
    <col min="13831" max="13831" width="17.85546875" style="16" customWidth="1"/>
    <col min="13832" max="13832" width="3.140625" style="16" customWidth="1"/>
    <col min="13833" max="13833" width="50" style="16" customWidth="1"/>
    <col min="13834" max="13838" width="13" style="16" bestFit="1" customWidth="1"/>
    <col min="13839" max="13840" width="14.7109375" style="16" customWidth="1"/>
    <col min="13841" max="13841" width="15.7109375" style="16" customWidth="1"/>
    <col min="13842" max="13842" width="15" style="16" customWidth="1"/>
    <col min="13843" max="13843" width="17" style="16" customWidth="1"/>
    <col min="13844" max="13844" width="16.42578125" style="16" customWidth="1"/>
    <col min="13845" max="13845" width="17.42578125" style="16" customWidth="1"/>
    <col min="13846" max="14080" width="11.42578125" style="16"/>
    <col min="14081" max="14081" width="61.28515625" style="16" bestFit="1" customWidth="1"/>
    <col min="14082" max="14082" width="22.28515625" style="16" customWidth="1"/>
    <col min="14083" max="14083" width="20" style="16" customWidth="1"/>
    <col min="14084" max="14084" width="21.7109375" style="16" customWidth="1"/>
    <col min="14085" max="14085" width="19" style="16" customWidth="1"/>
    <col min="14086" max="14086" width="16.5703125" style="16" customWidth="1"/>
    <col min="14087" max="14087" width="17.85546875" style="16" customWidth="1"/>
    <col min="14088" max="14088" width="3.140625" style="16" customWidth="1"/>
    <col min="14089" max="14089" width="50" style="16" customWidth="1"/>
    <col min="14090" max="14094" width="13" style="16" bestFit="1" customWidth="1"/>
    <col min="14095" max="14096" width="14.7109375" style="16" customWidth="1"/>
    <col min="14097" max="14097" width="15.7109375" style="16" customWidth="1"/>
    <col min="14098" max="14098" width="15" style="16" customWidth="1"/>
    <col min="14099" max="14099" width="17" style="16" customWidth="1"/>
    <col min="14100" max="14100" width="16.42578125" style="16" customWidth="1"/>
    <col min="14101" max="14101" width="17.42578125" style="16" customWidth="1"/>
    <col min="14102" max="14336" width="11.42578125" style="16"/>
    <col min="14337" max="14337" width="61.28515625" style="16" bestFit="1" customWidth="1"/>
    <col min="14338" max="14338" width="22.28515625" style="16" customWidth="1"/>
    <col min="14339" max="14339" width="20" style="16" customWidth="1"/>
    <col min="14340" max="14340" width="21.7109375" style="16" customWidth="1"/>
    <col min="14341" max="14341" width="19" style="16" customWidth="1"/>
    <col min="14342" max="14342" width="16.5703125" style="16" customWidth="1"/>
    <col min="14343" max="14343" width="17.85546875" style="16" customWidth="1"/>
    <col min="14344" max="14344" width="3.140625" style="16" customWidth="1"/>
    <col min="14345" max="14345" width="50" style="16" customWidth="1"/>
    <col min="14346" max="14350" width="13" style="16" bestFit="1" customWidth="1"/>
    <col min="14351" max="14352" width="14.7109375" style="16" customWidth="1"/>
    <col min="14353" max="14353" width="15.7109375" style="16" customWidth="1"/>
    <col min="14354" max="14354" width="15" style="16" customWidth="1"/>
    <col min="14355" max="14355" width="17" style="16" customWidth="1"/>
    <col min="14356" max="14356" width="16.42578125" style="16" customWidth="1"/>
    <col min="14357" max="14357" width="17.42578125" style="16" customWidth="1"/>
    <col min="14358" max="14592" width="11.42578125" style="16"/>
    <col min="14593" max="14593" width="61.28515625" style="16" bestFit="1" customWidth="1"/>
    <col min="14594" max="14594" width="22.28515625" style="16" customWidth="1"/>
    <col min="14595" max="14595" width="20" style="16" customWidth="1"/>
    <col min="14596" max="14596" width="21.7109375" style="16" customWidth="1"/>
    <col min="14597" max="14597" width="19" style="16" customWidth="1"/>
    <col min="14598" max="14598" width="16.5703125" style="16" customWidth="1"/>
    <col min="14599" max="14599" width="17.85546875" style="16" customWidth="1"/>
    <col min="14600" max="14600" width="3.140625" style="16" customWidth="1"/>
    <col min="14601" max="14601" width="50" style="16" customWidth="1"/>
    <col min="14602" max="14606" width="13" style="16" bestFit="1" customWidth="1"/>
    <col min="14607" max="14608" width="14.7109375" style="16" customWidth="1"/>
    <col min="14609" max="14609" width="15.7109375" style="16" customWidth="1"/>
    <col min="14610" max="14610" width="15" style="16" customWidth="1"/>
    <col min="14611" max="14611" width="17" style="16" customWidth="1"/>
    <col min="14612" max="14612" width="16.42578125" style="16" customWidth="1"/>
    <col min="14613" max="14613" width="17.42578125" style="16" customWidth="1"/>
    <col min="14614" max="14848" width="11.42578125" style="16"/>
    <col min="14849" max="14849" width="61.28515625" style="16" bestFit="1" customWidth="1"/>
    <col min="14850" max="14850" width="22.28515625" style="16" customWidth="1"/>
    <col min="14851" max="14851" width="20" style="16" customWidth="1"/>
    <col min="14852" max="14852" width="21.7109375" style="16" customWidth="1"/>
    <col min="14853" max="14853" width="19" style="16" customWidth="1"/>
    <col min="14854" max="14854" width="16.5703125" style="16" customWidth="1"/>
    <col min="14855" max="14855" width="17.85546875" style="16" customWidth="1"/>
    <col min="14856" max="14856" width="3.140625" style="16" customWidth="1"/>
    <col min="14857" max="14857" width="50" style="16" customWidth="1"/>
    <col min="14858" max="14862" width="13" style="16" bestFit="1" customWidth="1"/>
    <col min="14863" max="14864" width="14.7109375" style="16" customWidth="1"/>
    <col min="14865" max="14865" width="15.7109375" style="16" customWidth="1"/>
    <col min="14866" max="14866" width="15" style="16" customWidth="1"/>
    <col min="14867" max="14867" width="17" style="16" customWidth="1"/>
    <col min="14868" max="14868" width="16.42578125" style="16" customWidth="1"/>
    <col min="14869" max="14869" width="17.42578125" style="16" customWidth="1"/>
    <col min="14870" max="15104" width="11.42578125" style="16"/>
    <col min="15105" max="15105" width="61.28515625" style="16" bestFit="1" customWidth="1"/>
    <col min="15106" max="15106" width="22.28515625" style="16" customWidth="1"/>
    <col min="15107" max="15107" width="20" style="16" customWidth="1"/>
    <col min="15108" max="15108" width="21.7109375" style="16" customWidth="1"/>
    <col min="15109" max="15109" width="19" style="16" customWidth="1"/>
    <col min="15110" max="15110" width="16.5703125" style="16" customWidth="1"/>
    <col min="15111" max="15111" width="17.85546875" style="16" customWidth="1"/>
    <col min="15112" max="15112" width="3.140625" style="16" customWidth="1"/>
    <col min="15113" max="15113" width="50" style="16" customWidth="1"/>
    <col min="15114" max="15118" width="13" style="16" bestFit="1" customWidth="1"/>
    <col min="15119" max="15120" width="14.7109375" style="16" customWidth="1"/>
    <col min="15121" max="15121" width="15.7109375" style="16" customWidth="1"/>
    <col min="15122" max="15122" width="15" style="16" customWidth="1"/>
    <col min="15123" max="15123" width="17" style="16" customWidth="1"/>
    <col min="15124" max="15124" width="16.42578125" style="16" customWidth="1"/>
    <col min="15125" max="15125" width="17.42578125" style="16" customWidth="1"/>
    <col min="15126" max="15360" width="11.42578125" style="16"/>
    <col min="15361" max="15361" width="61.28515625" style="16" bestFit="1" customWidth="1"/>
    <col min="15362" max="15362" width="22.28515625" style="16" customWidth="1"/>
    <col min="15363" max="15363" width="20" style="16" customWidth="1"/>
    <col min="15364" max="15364" width="21.7109375" style="16" customWidth="1"/>
    <col min="15365" max="15365" width="19" style="16" customWidth="1"/>
    <col min="15366" max="15366" width="16.5703125" style="16" customWidth="1"/>
    <col min="15367" max="15367" width="17.85546875" style="16" customWidth="1"/>
    <col min="15368" max="15368" width="3.140625" style="16" customWidth="1"/>
    <col min="15369" max="15369" width="50" style="16" customWidth="1"/>
    <col min="15370" max="15374" width="13" style="16" bestFit="1" customWidth="1"/>
    <col min="15375" max="15376" width="14.7109375" style="16" customWidth="1"/>
    <col min="15377" max="15377" width="15.7109375" style="16" customWidth="1"/>
    <col min="15378" max="15378" width="15" style="16" customWidth="1"/>
    <col min="15379" max="15379" width="17" style="16" customWidth="1"/>
    <col min="15380" max="15380" width="16.42578125" style="16" customWidth="1"/>
    <col min="15381" max="15381" width="17.42578125" style="16" customWidth="1"/>
    <col min="15382" max="15616" width="11.42578125" style="16"/>
    <col min="15617" max="15617" width="61.28515625" style="16" bestFit="1" customWidth="1"/>
    <col min="15618" max="15618" width="22.28515625" style="16" customWidth="1"/>
    <col min="15619" max="15619" width="20" style="16" customWidth="1"/>
    <col min="15620" max="15620" width="21.7109375" style="16" customWidth="1"/>
    <col min="15621" max="15621" width="19" style="16" customWidth="1"/>
    <col min="15622" max="15622" width="16.5703125" style="16" customWidth="1"/>
    <col min="15623" max="15623" width="17.85546875" style="16" customWidth="1"/>
    <col min="15624" max="15624" width="3.140625" style="16" customWidth="1"/>
    <col min="15625" max="15625" width="50" style="16" customWidth="1"/>
    <col min="15626" max="15630" width="13" style="16" bestFit="1" customWidth="1"/>
    <col min="15631" max="15632" width="14.7109375" style="16" customWidth="1"/>
    <col min="15633" max="15633" width="15.7109375" style="16" customWidth="1"/>
    <col min="15634" max="15634" width="15" style="16" customWidth="1"/>
    <col min="15635" max="15635" width="17" style="16" customWidth="1"/>
    <col min="15636" max="15636" width="16.42578125" style="16" customWidth="1"/>
    <col min="15637" max="15637" width="17.42578125" style="16" customWidth="1"/>
    <col min="15638" max="15872" width="11.42578125" style="16"/>
    <col min="15873" max="15873" width="61.28515625" style="16" bestFit="1" customWidth="1"/>
    <col min="15874" max="15874" width="22.28515625" style="16" customWidth="1"/>
    <col min="15875" max="15875" width="20" style="16" customWidth="1"/>
    <col min="15876" max="15876" width="21.7109375" style="16" customWidth="1"/>
    <col min="15877" max="15877" width="19" style="16" customWidth="1"/>
    <col min="15878" max="15878" width="16.5703125" style="16" customWidth="1"/>
    <col min="15879" max="15879" width="17.85546875" style="16" customWidth="1"/>
    <col min="15880" max="15880" width="3.140625" style="16" customWidth="1"/>
    <col min="15881" max="15881" width="50" style="16" customWidth="1"/>
    <col min="15882" max="15886" width="13" style="16" bestFit="1" customWidth="1"/>
    <col min="15887" max="15888" width="14.7109375" style="16" customWidth="1"/>
    <col min="15889" max="15889" width="15.7109375" style="16" customWidth="1"/>
    <col min="15890" max="15890" width="15" style="16" customWidth="1"/>
    <col min="15891" max="15891" width="17" style="16" customWidth="1"/>
    <col min="15892" max="15892" width="16.42578125" style="16" customWidth="1"/>
    <col min="15893" max="15893" width="17.42578125" style="16" customWidth="1"/>
    <col min="15894" max="16128" width="11.42578125" style="16"/>
    <col min="16129" max="16129" width="61.28515625" style="16" bestFit="1" customWidth="1"/>
    <col min="16130" max="16130" width="22.28515625" style="16" customWidth="1"/>
    <col min="16131" max="16131" width="20" style="16" customWidth="1"/>
    <col min="16132" max="16132" width="21.7109375" style="16" customWidth="1"/>
    <col min="16133" max="16133" width="19" style="16" customWidth="1"/>
    <col min="16134" max="16134" width="16.5703125" style="16" customWidth="1"/>
    <col min="16135" max="16135" width="17.85546875" style="16" customWidth="1"/>
    <col min="16136" max="16136" width="3.140625" style="16" customWidth="1"/>
    <col min="16137" max="16137" width="50" style="16" customWidth="1"/>
    <col min="16138" max="16142" width="13" style="16" bestFit="1" customWidth="1"/>
    <col min="16143" max="16144" width="14.7109375" style="16" customWidth="1"/>
    <col min="16145" max="16145" width="15.7109375" style="16" customWidth="1"/>
    <col min="16146" max="16146" width="15" style="16" customWidth="1"/>
    <col min="16147" max="16147" width="17" style="16" customWidth="1"/>
    <col min="16148" max="16148" width="16.42578125" style="16" customWidth="1"/>
    <col min="16149" max="16149" width="17.42578125" style="16" customWidth="1"/>
    <col min="16150" max="16384" width="11.42578125" style="16"/>
  </cols>
  <sheetData>
    <row r="1" spans="1:14" ht="28.5" thickBot="1" x14ac:dyDescent="0.25">
      <c r="A1" s="552" t="s">
        <v>112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13.5" thickBot="1" x14ac:dyDescent="0.25">
      <c r="A2" s="86" t="s">
        <v>113</v>
      </c>
      <c r="B2" s="87">
        <v>0.04</v>
      </c>
      <c r="H2" s="88"/>
      <c r="I2" s="88"/>
    </row>
    <row r="3" spans="1:14" ht="13.5" thickBot="1" x14ac:dyDescent="0.25">
      <c r="B3" s="89"/>
      <c r="I3" s="90" t="s">
        <v>114</v>
      </c>
      <c r="J3" s="87">
        <v>0.02</v>
      </c>
      <c r="K3" s="91" t="s">
        <v>115</v>
      </c>
    </row>
    <row r="4" spans="1:14" ht="15" x14ac:dyDescent="0.2">
      <c r="A4" s="92" t="s">
        <v>116</v>
      </c>
      <c r="B4" s="93">
        <v>2017</v>
      </c>
      <c r="C4" s="276">
        <v>43646</v>
      </c>
      <c r="D4" s="276">
        <f>C4+366</f>
        <v>44012</v>
      </c>
      <c r="E4" s="276">
        <f t="shared" ref="E4:G4" si="0">D4+365</f>
        <v>44377</v>
      </c>
      <c r="F4" s="276">
        <f t="shared" si="0"/>
        <v>44742</v>
      </c>
      <c r="G4" s="276">
        <f t="shared" si="0"/>
        <v>45107</v>
      </c>
      <c r="H4" s="32"/>
      <c r="I4" s="96" t="s">
        <v>117</v>
      </c>
      <c r="J4" s="97" t="s">
        <v>118</v>
      </c>
      <c r="K4" s="97" t="s">
        <v>119</v>
      </c>
      <c r="L4" s="98" t="s">
        <v>120</v>
      </c>
      <c r="M4" s="98" t="s">
        <v>121</v>
      </c>
      <c r="N4" s="98" t="s">
        <v>122</v>
      </c>
    </row>
    <row r="5" spans="1:14" x14ac:dyDescent="0.2">
      <c r="A5" s="99" t="s">
        <v>123</v>
      </c>
      <c r="B5" s="100"/>
      <c r="C5" s="101"/>
      <c r="D5" s="101"/>
      <c r="E5" s="101"/>
      <c r="F5" s="101"/>
      <c r="G5" s="102"/>
      <c r="H5" s="32"/>
      <c r="I5" s="32"/>
      <c r="J5" s="32"/>
      <c r="K5" s="32"/>
      <c r="L5" s="32"/>
      <c r="M5" s="32"/>
    </row>
    <row r="6" spans="1:14" ht="6" customHeight="1" x14ac:dyDescent="0.2">
      <c r="A6" s="103"/>
      <c r="B6" s="104"/>
      <c r="C6" s="105"/>
      <c r="D6" s="105"/>
      <c r="E6" s="105"/>
      <c r="F6" s="105"/>
      <c r="G6" s="106"/>
      <c r="H6" s="32"/>
      <c r="I6" s="32"/>
      <c r="J6" s="32"/>
      <c r="K6" s="32"/>
      <c r="L6" s="32"/>
      <c r="M6" s="32"/>
    </row>
    <row r="7" spans="1:14" x14ac:dyDescent="0.2">
      <c r="A7" s="107" t="s">
        <v>124</v>
      </c>
      <c r="B7" s="104"/>
      <c r="C7" s="105"/>
      <c r="D7" s="105"/>
      <c r="E7" s="105"/>
      <c r="F7" s="105"/>
      <c r="G7" s="106"/>
      <c r="H7" s="32"/>
      <c r="I7" s="108"/>
      <c r="J7" s="109"/>
      <c r="K7" s="109"/>
      <c r="L7" s="109"/>
      <c r="M7" s="109"/>
      <c r="N7" s="110"/>
    </row>
    <row r="8" spans="1:14" x14ac:dyDescent="0.2">
      <c r="A8" s="111" t="s">
        <v>2</v>
      </c>
      <c r="B8" s="112"/>
      <c r="C8" s="113"/>
      <c r="D8" s="113"/>
      <c r="E8" s="113"/>
      <c r="F8" s="113"/>
      <c r="G8" s="114"/>
      <c r="H8" s="32"/>
      <c r="I8" s="115"/>
      <c r="J8" s="36"/>
      <c r="K8" s="36"/>
      <c r="L8" s="36"/>
      <c r="M8" s="36"/>
      <c r="N8" s="116"/>
    </row>
    <row r="9" spans="1:14" ht="29.25" customHeight="1" x14ac:dyDescent="0.2">
      <c r="A9" s="117" t="s">
        <v>125</v>
      </c>
      <c r="B9" s="118">
        <v>23</v>
      </c>
      <c r="C9" s="119">
        <v>23</v>
      </c>
      <c r="D9" s="120">
        <f>C9*(1+K9)</f>
        <v>23.344999999999999</v>
      </c>
      <c r="E9" s="120">
        <f>D9*(1+L9)</f>
        <v>23.695174999999995</v>
      </c>
      <c r="F9" s="120">
        <f>E9*(1+M9)</f>
        <v>24.050602624999993</v>
      </c>
      <c r="G9" s="121">
        <f>F9*(1+N9)</f>
        <v>24.41136166437499</v>
      </c>
      <c r="H9" s="32"/>
      <c r="I9" s="122" t="s">
        <v>126</v>
      </c>
      <c r="J9" s="123">
        <v>1.4999999999999999E-2</v>
      </c>
      <c r="K9" s="123">
        <v>1.4999999999999999E-2</v>
      </c>
      <c r="L9" s="123">
        <v>1.4999999999999999E-2</v>
      </c>
      <c r="M9" s="123">
        <v>1.4999999999999999E-2</v>
      </c>
      <c r="N9" s="123">
        <v>1.4999999999999999E-2</v>
      </c>
    </row>
    <row r="10" spans="1:14" ht="29.25" customHeight="1" x14ac:dyDescent="0.2">
      <c r="A10" s="117" t="s">
        <v>127</v>
      </c>
      <c r="B10" s="118">
        <f>29.4/1.015</f>
        <v>28.965517241379313</v>
      </c>
      <c r="C10" s="120">
        <f>C9+SUM(C11:C16)</f>
        <v>48.49482946057514</v>
      </c>
      <c r="D10" s="120">
        <f>D9+SUM(D11:D16)</f>
        <v>42.285787716382188</v>
      </c>
      <c r="E10" s="120">
        <f>E9+SUM(E11:E16)</f>
        <v>42.993926709175227</v>
      </c>
      <c r="F10" s="120">
        <f>F9+SUM(F11:F16)</f>
        <v>44.83290449275674</v>
      </c>
      <c r="G10" s="120">
        <f>G9+SUM(G11:G16)</f>
        <v>46.172310043071491</v>
      </c>
      <c r="H10" s="32"/>
      <c r="I10" s="122"/>
      <c r="J10" s="123"/>
      <c r="K10" s="123"/>
      <c r="L10" s="123"/>
      <c r="M10" s="123"/>
      <c r="N10" s="124"/>
    </row>
    <row r="11" spans="1:14" ht="13.5" customHeight="1" x14ac:dyDescent="0.2">
      <c r="A11" s="125" t="s">
        <v>128</v>
      </c>
      <c r="B11" s="118"/>
      <c r="C11" s="120" t="s">
        <v>129</v>
      </c>
      <c r="D11" s="120" t="s">
        <v>129</v>
      </c>
      <c r="E11" s="120" t="s">
        <v>129</v>
      </c>
      <c r="F11" s="120" t="s">
        <v>129</v>
      </c>
      <c r="G11" s="120" t="s">
        <v>129</v>
      </c>
      <c r="H11" s="32"/>
      <c r="I11" s="122"/>
      <c r="J11" s="123"/>
      <c r="K11" s="123"/>
      <c r="L11" s="123"/>
      <c r="M11" s="123"/>
      <c r="N11" s="124"/>
    </row>
    <row r="12" spans="1:14" ht="13.5" customHeight="1" x14ac:dyDescent="0.2">
      <c r="A12" s="125" t="s">
        <v>130</v>
      </c>
      <c r="B12" s="118"/>
      <c r="C12" s="120" t="s">
        <v>129</v>
      </c>
      <c r="D12" s="120" t="s">
        <v>129</v>
      </c>
      <c r="E12" s="120" t="s">
        <v>129</v>
      </c>
      <c r="F12" s="120" t="s">
        <v>129</v>
      </c>
      <c r="G12" s="120" t="s">
        <v>129</v>
      </c>
      <c r="H12" s="32"/>
      <c r="I12" s="122"/>
      <c r="J12" s="123"/>
      <c r="K12" s="123"/>
      <c r="L12" s="123"/>
      <c r="M12" s="123"/>
      <c r="N12" s="124"/>
    </row>
    <row r="13" spans="1:14" ht="13.5" customHeight="1" x14ac:dyDescent="0.2">
      <c r="A13" s="126" t="s">
        <v>131</v>
      </c>
      <c r="B13" s="118"/>
      <c r="C13" s="127">
        <f>C185*C285/C17</f>
        <v>23.745401960575141</v>
      </c>
      <c r="D13" s="127">
        <f>D185*D285/D17</f>
        <v>17.156371666382189</v>
      </c>
      <c r="E13" s="127">
        <f>E185*E285/E17</f>
        <v>13.907218766746661</v>
      </c>
      <c r="F13" s="127">
        <f>F185*F285/F17</f>
        <v>8.9903756378514021</v>
      </c>
      <c r="G13" s="127">
        <f>G185*G285/G17</f>
        <v>9.9318920196227527</v>
      </c>
      <c r="H13" s="32"/>
      <c r="I13" s="122"/>
      <c r="J13" s="123"/>
      <c r="K13" s="123"/>
      <c r="L13" s="123"/>
      <c r="M13" s="123"/>
      <c r="N13" s="124"/>
    </row>
    <row r="14" spans="1:14" ht="13.5" customHeight="1" x14ac:dyDescent="0.2">
      <c r="A14" s="125" t="s">
        <v>132</v>
      </c>
      <c r="B14" s="118"/>
      <c r="C14" s="141">
        <v>0</v>
      </c>
      <c r="D14" s="141">
        <v>0</v>
      </c>
      <c r="E14" s="118">
        <f>'F1'!E162/'F4'!E17</f>
        <v>3.5714285714285716</v>
      </c>
      <c r="F14" s="118">
        <f>'F1'!F162/'F4'!F17</f>
        <v>9.9354197714853445</v>
      </c>
      <c r="G14" s="118">
        <f>'F1'!G162/'F4'!G17</f>
        <v>9.9354197714853445</v>
      </c>
      <c r="H14" s="32"/>
      <c r="I14" s="122"/>
      <c r="J14" s="123"/>
      <c r="K14" s="123"/>
      <c r="L14" s="123"/>
      <c r="M14" s="123"/>
      <c r="N14" s="124"/>
    </row>
    <row r="15" spans="1:14" ht="13.5" customHeight="1" x14ac:dyDescent="0.2">
      <c r="A15" s="125" t="s">
        <v>133</v>
      </c>
      <c r="B15" s="118"/>
      <c r="C15" s="120">
        <f>'F1'!C178*'F1'!C190*J198</f>
        <v>1.7494275000000001</v>
      </c>
      <c r="D15" s="120">
        <f>'F1'!D178*'F1'!D190*K198</f>
        <v>1.7844160499999997</v>
      </c>
      <c r="E15" s="120">
        <f>'F1'!E178*'F1'!E190*L198</f>
        <v>1.820104371</v>
      </c>
      <c r="F15" s="120">
        <f>'F1'!F178*'F1'!F190*M198</f>
        <v>1.8565064584199997</v>
      </c>
      <c r="G15" s="120">
        <f>'F1'!G178*'F1'!G190*N198</f>
        <v>1.8936365875883998</v>
      </c>
      <c r="H15" s="32"/>
      <c r="I15" s="122"/>
      <c r="J15" s="123"/>
      <c r="K15" s="123"/>
      <c r="L15" s="123"/>
      <c r="M15" s="123"/>
      <c r="N15" s="124"/>
    </row>
    <row r="16" spans="1:14" ht="13.5" customHeight="1" x14ac:dyDescent="0.2">
      <c r="A16" s="125" t="s">
        <v>134</v>
      </c>
      <c r="B16" s="118"/>
      <c r="C16" s="120" t="s">
        <v>129</v>
      </c>
      <c r="D16" s="120" t="s">
        <v>129</v>
      </c>
      <c r="E16" s="120" t="s">
        <v>129</v>
      </c>
      <c r="F16" s="120" t="s">
        <v>129</v>
      </c>
      <c r="G16" s="121" t="s">
        <v>129</v>
      </c>
      <c r="H16" s="32"/>
      <c r="I16" s="122"/>
      <c r="J16" s="123"/>
      <c r="K16" s="123"/>
      <c r="L16" s="123"/>
      <c r="M16" s="123"/>
      <c r="N16" s="124"/>
    </row>
    <row r="17" spans="1:14" x14ac:dyDescent="0.2">
      <c r="A17" s="128" t="s">
        <v>135</v>
      </c>
      <c r="B17" s="129" t="e">
        <f>'F1'!#REF!+'F1'!#REF!+'F1'!#REF!</f>
        <v>#REF!</v>
      </c>
      <c r="C17" s="130">
        <f>'F1'!C10</f>
        <v>1400</v>
      </c>
      <c r="D17" s="130">
        <f>'F1'!D10</f>
        <v>4200</v>
      </c>
      <c r="E17" s="130">
        <f>'F1'!E10</f>
        <v>5600</v>
      </c>
      <c r="F17" s="130">
        <f>'F1'!F10</f>
        <v>5600</v>
      </c>
      <c r="G17" s="130">
        <f>'F1'!G10</f>
        <v>5600</v>
      </c>
      <c r="H17" s="32"/>
      <c r="I17" s="115"/>
      <c r="J17" s="36"/>
      <c r="K17" s="36"/>
      <c r="L17" s="36"/>
      <c r="M17" s="36"/>
      <c r="N17" s="116"/>
    </row>
    <row r="18" spans="1:14" ht="15.75" customHeight="1" x14ac:dyDescent="0.2">
      <c r="A18" s="131" t="s">
        <v>136</v>
      </c>
      <c r="B18" s="132" t="e">
        <f>B9*B17</f>
        <v>#REF!</v>
      </c>
      <c r="C18" s="133">
        <f>C10*C17</f>
        <v>67892.761244805195</v>
      </c>
      <c r="D18" s="133">
        <f>D10*D17</f>
        <v>177600.3084088052</v>
      </c>
      <c r="E18" s="133">
        <f>E10*E17</f>
        <v>240765.98957138127</v>
      </c>
      <c r="F18" s="133">
        <f>F10*F17</f>
        <v>251064.26515943775</v>
      </c>
      <c r="G18" s="133">
        <f>G10*G17</f>
        <v>258564.93624120034</v>
      </c>
      <c r="H18" s="32"/>
      <c r="I18" s="115"/>
      <c r="J18" s="36"/>
      <c r="K18" s="36"/>
      <c r="L18" s="36"/>
      <c r="M18" s="36"/>
      <c r="N18" s="116"/>
    </row>
    <row r="19" spans="1:14" ht="15" x14ac:dyDescent="0.2">
      <c r="A19" s="92"/>
      <c r="B19" s="93"/>
      <c r="C19" s="94"/>
      <c r="D19" s="94"/>
      <c r="E19" s="94"/>
      <c r="F19" s="94"/>
      <c r="G19" s="95"/>
      <c r="H19" s="32"/>
      <c r="I19" s="96"/>
      <c r="J19" s="97"/>
      <c r="K19" s="97"/>
      <c r="L19" s="98"/>
      <c r="M19" s="98"/>
      <c r="N19" s="98"/>
    </row>
    <row r="20" spans="1:14" x14ac:dyDescent="0.2">
      <c r="A20" s="99" t="s">
        <v>137</v>
      </c>
      <c r="B20" s="100"/>
      <c r="C20" s="101"/>
      <c r="D20" s="101"/>
      <c r="E20" s="101"/>
      <c r="F20" s="101"/>
      <c r="G20" s="102"/>
      <c r="H20" s="32"/>
      <c r="I20" s="32"/>
      <c r="J20" s="32"/>
      <c r="K20" s="32"/>
      <c r="L20" s="32"/>
      <c r="M20" s="32"/>
    </row>
    <row r="21" spans="1:14" ht="6" customHeight="1" x14ac:dyDescent="0.2">
      <c r="A21" s="103"/>
      <c r="B21" s="104"/>
      <c r="C21" s="105"/>
      <c r="D21" s="105"/>
      <c r="E21" s="105"/>
      <c r="F21" s="105"/>
      <c r="G21" s="106"/>
      <c r="H21" s="32"/>
      <c r="I21" s="32"/>
      <c r="J21" s="32"/>
      <c r="K21" s="32"/>
      <c r="L21" s="32"/>
      <c r="M21" s="32"/>
    </row>
    <row r="22" spans="1:14" x14ac:dyDescent="0.2">
      <c r="A22" s="107" t="s">
        <v>124</v>
      </c>
      <c r="B22" s="104"/>
      <c r="C22" s="105"/>
      <c r="D22" s="105"/>
      <c r="E22" s="105"/>
      <c r="F22" s="105"/>
      <c r="G22" s="106"/>
      <c r="H22" s="32"/>
      <c r="I22" s="108"/>
      <c r="J22" s="109"/>
      <c r="K22" s="109"/>
      <c r="L22" s="109"/>
      <c r="M22" s="109"/>
      <c r="N22" s="110"/>
    </row>
    <row r="23" spans="1:14" x14ac:dyDescent="0.2">
      <c r="A23" s="111" t="s">
        <v>2</v>
      </c>
      <c r="B23" s="112"/>
      <c r="C23" s="113"/>
      <c r="D23" s="113"/>
      <c r="E23" s="113"/>
      <c r="F23" s="113"/>
      <c r="G23" s="114"/>
      <c r="H23" s="32"/>
      <c r="I23" s="115"/>
      <c r="J23" s="36"/>
      <c r="K23" s="36"/>
      <c r="L23" s="36"/>
      <c r="M23" s="36"/>
      <c r="N23" s="116"/>
    </row>
    <row r="24" spans="1:14" ht="29.25" customHeight="1" x14ac:dyDescent="0.2">
      <c r="A24" s="117" t="s">
        <v>267</v>
      </c>
      <c r="B24" s="118">
        <f>26</f>
        <v>26</v>
      </c>
      <c r="C24" s="119">
        <f>36/1.1</f>
        <v>32.727272727272727</v>
      </c>
      <c r="D24" s="120">
        <f>C24*(1+K24)</f>
        <v>33.218181818181812</v>
      </c>
      <c r="E24" s="120">
        <f>D24*(1+L24)</f>
        <v>33.716454545454539</v>
      </c>
      <c r="F24" s="120">
        <f>E24*(1+M24)</f>
        <v>34.222201363636351</v>
      </c>
      <c r="G24" s="121">
        <f>F24*(1+N24)</f>
        <v>34.73553438409089</v>
      </c>
      <c r="H24" s="32"/>
      <c r="I24" s="122" t="s">
        <v>126</v>
      </c>
      <c r="J24" s="123">
        <v>1.4999999999999999E-2</v>
      </c>
      <c r="K24" s="123">
        <v>1.4999999999999999E-2</v>
      </c>
      <c r="L24" s="123">
        <v>1.4999999999999999E-2</v>
      </c>
      <c r="M24" s="123">
        <v>1.4999999999999999E-2</v>
      </c>
      <c r="N24" s="123">
        <v>1.4999999999999999E-2</v>
      </c>
    </row>
    <row r="25" spans="1:14" ht="29.25" customHeight="1" x14ac:dyDescent="0.2">
      <c r="A25" s="117" t="s">
        <v>127</v>
      </c>
      <c r="B25" s="118">
        <f>29.4/1.015</f>
        <v>28.965517241379313</v>
      </c>
      <c r="C25" s="120" t="e">
        <f>C24+SUM(C26:C30)</f>
        <v>#DIV/0!</v>
      </c>
      <c r="D25" s="120" t="e">
        <f>D24+SUM(D26:D30)</f>
        <v>#DIV/0!</v>
      </c>
      <c r="E25" s="120" t="e">
        <f>E24+SUM(E26:E30)</f>
        <v>#DIV/0!</v>
      </c>
      <c r="F25" s="120">
        <f>F24+SUM(F26:F30)</f>
        <v>46.014127593541694</v>
      </c>
      <c r="G25" s="120">
        <f>G24+SUM(G26:G30)</f>
        <v>46.564590743164636</v>
      </c>
      <c r="H25" s="32"/>
      <c r="I25" s="122"/>
      <c r="J25" s="123"/>
      <c r="K25" s="123"/>
      <c r="L25" s="123"/>
      <c r="M25" s="123"/>
      <c r="N25" s="124"/>
    </row>
    <row r="26" spans="1:14" ht="13.5" customHeight="1" x14ac:dyDescent="0.2">
      <c r="A26" s="125" t="s">
        <v>128</v>
      </c>
      <c r="B26" s="118"/>
      <c r="C26" s="120" t="s">
        <v>129</v>
      </c>
      <c r="D26" s="120" t="s">
        <v>129</v>
      </c>
      <c r="E26" s="120" t="s">
        <v>129</v>
      </c>
      <c r="F26" s="120" t="s">
        <v>129</v>
      </c>
      <c r="G26" s="120" t="s">
        <v>129</v>
      </c>
      <c r="H26" s="32"/>
      <c r="I26" s="122"/>
      <c r="J26" s="123"/>
      <c r="K26" s="123"/>
      <c r="L26" s="123"/>
      <c r="M26" s="123"/>
      <c r="N26" s="124"/>
    </row>
    <row r="27" spans="1:14" ht="13.5" customHeight="1" x14ac:dyDescent="0.2">
      <c r="A27" s="125" t="s">
        <v>130</v>
      </c>
      <c r="B27" s="118"/>
      <c r="C27" s="120" t="s">
        <v>129</v>
      </c>
      <c r="D27" s="120" t="s">
        <v>129</v>
      </c>
      <c r="E27" s="120" t="s">
        <v>129</v>
      </c>
      <c r="F27" s="120" t="s">
        <v>129</v>
      </c>
      <c r="G27" s="120" t="s">
        <v>129</v>
      </c>
      <c r="H27" s="32"/>
      <c r="I27" s="122"/>
      <c r="J27" s="123"/>
      <c r="K27" s="123"/>
      <c r="L27" s="123"/>
      <c r="M27" s="123"/>
      <c r="N27" s="124"/>
    </row>
    <row r="28" spans="1:14" ht="13.5" customHeight="1" x14ac:dyDescent="0.2">
      <c r="A28" s="125" t="s">
        <v>132</v>
      </c>
      <c r="B28" s="118"/>
      <c r="C28" s="118" t="e">
        <f>('F1'!C164+'F1'!C165+'F1'!C166)/'F4'!C31</f>
        <v>#DIV/0!</v>
      </c>
      <c r="D28" s="118" t="e">
        <f>('F1'!D164+'F1'!D165+'F1'!D166)/'F4'!D31</f>
        <v>#DIV/0!</v>
      </c>
      <c r="E28" s="118" t="e">
        <f>('F1'!E164+'F1'!E165+'F1'!E166)/'F4'!E31</f>
        <v>#DIV/0!</v>
      </c>
      <c r="F28" s="118">
        <f>('F1'!F164+'F1'!F165+'F1'!F166)/'F4'!F31</f>
        <v>9.9354197714853445</v>
      </c>
      <c r="G28" s="118">
        <f>('F1'!G164+'F1'!G165+'F1'!G166)/'F4'!G31</f>
        <v>9.9354197714853445</v>
      </c>
      <c r="H28" s="32"/>
      <c r="I28" s="122"/>
      <c r="J28" s="123"/>
      <c r="K28" s="123"/>
      <c r="L28" s="123"/>
      <c r="M28" s="123"/>
      <c r="N28" s="124"/>
    </row>
    <row r="29" spans="1:14" ht="13.5" customHeight="1" x14ac:dyDescent="0.2">
      <c r="A29" s="125" t="s">
        <v>133</v>
      </c>
      <c r="B29" s="118"/>
      <c r="C29" s="119">
        <f>'F1'!C178*'F1'!C190*J198</f>
        <v>1.7494275000000001</v>
      </c>
      <c r="D29" s="119">
        <f>'F1'!D178*'F1'!D190*K198</f>
        <v>1.7844160499999997</v>
      </c>
      <c r="E29" s="119">
        <f>'F1'!E178*'F1'!E190*L198</f>
        <v>1.820104371</v>
      </c>
      <c r="F29" s="119">
        <f>'F1'!F178*'F1'!F190*M198</f>
        <v>1.8565064584199997</v>
      </c>
      <c r="G29" s="119">
        <f>'F1'!G178*'F1'!G190*N198</f>
        <v>1.8936365875883998</v>
      </c>
      <c r="H29" s="32"/>
      <c r="I29" s="122"/>
      <c r="J29" s="123"/>
      <c r="K29" s="123"/>
      <c r="L29" s="123"/>
      <c r="M29" s="123"/>
      <c r="N29" s="124"/>
    </row>
    <row r="30" spans="1:14" ht="13.5" customHeight="1" x14ac:dyDescent="0.2">
      <c r="A30" s="125" t="s">
        <v>134</v>
      </c>
      <c r="B30" s="118"/>
      <c r="C30" s="120" t="s">
        <v>129</v>
      </c>
      <c r="D30" s="120" t="s">
        <v>129</v>
      </c>
      <c r="E30" s="120" t="s">
        <v>129</v>
      </c>
      <c r="F30" s="120" t="s">
        <v>129</v>
      </c>
      <c r="G30" s="121" t="s">
        <v>129</v>
      </c>
      <c r="H30" s="32"/>
      <c r="I30" s="122"/>
      <c r="J30" s="123"/>
      <c r="K30" s="123"/>
      <c r="L30" s="123"/>
      <c r="M30" s="123"/>
      <c r="N30" s="124"/>
    </row>
    <row r="31" spans="1:14" x14ac:dyDescent="0.2">
      <c r="A31" s="128" t="s">
        <v>135</v>
      </c>
      <c r="B31" s="129" t="e">
        <f>[3]F1!B12+[3]F1!B13+[3]F1!B14</f>
        <v>#REF!</v>
      </c>
      <c r="C31" s="130">
        <f>'F1'!C12+'F1'!C13+'F1'!C14</f>
        <v>0</v>
      </c>
      <c r="D31" s="130">
        <f>'F1'!D12+'F1'!D13+'F1'!D14</f>
        <v>0</v>
      </c>
      <c r="E31" s="130">
        <f>'F1'!E12+'F1'!E13+'F1'!E14</f>
        <v>0</v>
      </c>
      <c r="F31" s="130">
        <f>'F1'!F12+'F1'!F13+'F1'!F14</f>
        <v>1100</v>
      </c>
      <c r="G31" s="130">
        <f>'F1'!G12+'F1'!G13+'F1'!G14</f>
        <v>1100</v>
      </c>
      <c r="H31" s="32"/>
      <c r="I31" s="115"/>
      <c r="J31" s="36"/>
      <c r="K31" s="36"/>
      <c r="L31" s="36"/>
      <c r="M31" s="36"/>
      <c r="N31" s="116"/>
    </row>
    <row r="32" spans="1:14" ht="15.75" customHeight="1" x14ac:dyDescent="0.2">
      <c r="A32" s="131" t="s">
        <v>136</v>
      </c>
      <c r="B32" s="132" t="e">
        <f>B24*B31</f>
        <v>#REF!</v>
      </c>
      <c r="C32" s="133" t="e">
        <f>C25*C31</f>
        <v>#DIV/0!</v>
      </c>
      <c r="D32" s="133" t="e">
        <f>D25*D31</f>
        <v>#DIV/0!</v>
      </c>
      <c r="E32" s="133" t="e">
        <f>E25*E31</f>
        <v>#DIV/0!</v>
      </c>
      <c r="F32" s="133">
        <f>F25*F31</f>
        <v>50615.540352895863</v>
      </c>
      <c r="G32" s="133">
        <f>G25*G31</f>
        <v>51221.0498174811</v>
      </c>
      <c r="H32" s="32"/>
      <c r="I32" s="115"/>
      <c r="J32" s="36"/>
      <c r="K32" s="36"/>
      <c r="L32" s="36"/>
      <c r="M32" s="36"/>
      <c r="N32" s="116"/>
    </row>
    <row r="33" spans="1:16" ht="3.75" customHeight="1" x14ac:dyDescent="0.2">
      <c r="A33" s="134"/>
      <c r="B33" s="135"/>
      <c r="C33" s="136"/>
      <c r="D33" s="136"/>
      <c r="E33" s="136"/>
      <c r="F33" s="136"/>
      <c r="G33" s="137"/>
      <c r="H33" s="32"/>
      <c r="I33" s="115"/>
      <c r="J33" s="36"/>
      <c r="K33" s="36"/>
      <c r="L33" s="36"/>
      <c r="M33" s="36"/>
      <c r="N33" s="116"/>
    </row>
    <row r="34" spans="1:16" ht="13.5" thickBot="1" x14ac:dyDescent="0.25">
      <c r="A34" s="111" t="s">
        <v>4</v>
      </c>
      <c r="B34" s="138"/>
      <c r="C34" s="139"/>
      <c r="D34" s="139"/>
      <c r="E34" s="139"/>
      <c r="F34" s="139"/>
      <c r="G34" s="140"/>
      <c r="H34" s="32"/>
      <c r="I34" s="115"/>
      <c r="J34" s="36"/>
      <c r="K34" s="36"/>
      <c r="L34" s="36"/>
      <c r="M34" s="36"/>
      <c r="N34" s="116"/>
    </row>
    <row r="35" spans="1:16" s="147" customFormat="1" ht="13.5" thickBot="1" x14ac:dyDescent="0.25">
      <c r="A35" s="117" t="s">
        <v>138</v>
      </c>
      <c r="B35" s="141">
        <f>58*0.8</f>
        <v>46.400000000000006</v>
      </c>
      <c r="C35" s="142">
        <f>B35*(1+K35)</f>
        <v>47.792000000000009</v>
      </c>
      <c r="D35" s="142">
        <f>C35*(1+K35)</f>
        <v>49.225760000000008</v>
      </c>
      <c r="E35" s="142">
        <f>D35*(1+L35)</f>
        <v>50.702532800000007</v>
      </c>
      <c r="F35" s="142">
        <f>E35*(1+M35)</f>
        <v>52.223608784000007</v>
      </c>
      <c r="G35" s="143">
        <f>F35*(1+N35)</f>
        <v>53.790317047520006</v>
      </c>
      <c r="H35" s="144"/>
      <c r="I35" s="145" t="s">
        <v>139</v>
      </c>
      <c r="J35" s="123">
        <v>0.03</v>
      </c>
      <c r="K35" s="123">
        <v>0.03</v>
      </c>
      <c r="L35" s="123">
        <v>0.03</v>
      </c>
      <c r="M35" s="123">
        <v>0.03</v>
      </c>
      <c r="N35" s="124">
        <v>0.03</v>
      </c>
      <c r="O35" s="90" t="s">
        <v>140</v>
      </c>
      <c r="P35" s="146">
        <v>1</v>
      </c>
    </row>
    <row r="36" spans="1:16" x14ac:dyDescent="0.2">
      <c r="A36" s="128" t="s">
        <v>141</v>
      </c>
      <c r="B36" s="129">
        <f>'F1'!B33+'F1'!B34+'F1'!B35</f>
        <v>0</v>
      </c>
      <c r="C36" s="130">
        <f>'F1'!C33+'F1'!C34+'F1'!C35</f>
        <v>0</v>
      </c>
      <c r="D36" s="130">
        <f>'F1'!D33+'F1'!D34+'F1'!D35</f>
        <v>0</v>
      </c>
      <c r="E36" s="130">
        <f>'F1'!E33+'F1'!E34+'F1'!E35</f>
        <v>0</v>
      </c>
      <c r="F36" s="130">
        <f>'F1'!F33+'F1'!F34+'F1'!F35</f>
        <v>0</v>
      </c>
      <c r="G36" s="148">
        <f>'F1'!G33+'F1'!G34+'F1'!G35</f>
        <v>0</v>
      </c>
      <c r="H36" s="32"/>
      <c r="I36" s="115"/>
      <c r="J36" s="36"/>
      <c r="K36" s="36"/>
      <c r="L36" s="36"/>
      <c r="M36" s="36"/>
      <c r="N36" s="116"/>
    </row>
    <row r="37" spans="1:16" x14ac:dyDescent="0.2">
      <c r="A37" s="131" t="s">
        <v>142</v>
      </c>
      <c r="B37" s="149">
        <f t="shared" ref="B37:G37" si="1">B35*B36</f>
        <v>0</v>
      </c>
      <c r="C37" s="150">
        <f t="shared" si="1"/>
        <v>0</v>
      </c>
      <c r="D37" s="150">
        <f t="shared" si="1"/>
        <v>0</v>
      </c>
      <c r="E37" s="150">
        <f t="shared" si="1"/>
        <v>0</v>
      </c>
      <c r="F37" s="150">
        <f t="shared" si="1"/>
        <v>0</v>
      </c>
      <c r="G37" s="151">
        <f t="shared" si="1"/>
        <v>0</v>
      </c>
      <c r="H37" s="32"/>
      <c r="I37" s="115"/>
      <c r="J37" s="36"/>
      <c r="K37" s="36"/>
      <c r="L37" s="36"/>
      <c r="M37" s="36"/>
      <c r="N37" s="116"/>
    </row>
    <row r="38" spans="1:16" x14ac:dyDescent="0.2">
      <c r="A38" s="134"/>
      <c r="B38" s="135"/>
      <c r="C38" s="136"/>
      <c r="D38" s="136"/>
      <c r="E38" s="136"/>
      <c r="F38" s="136"/>
      <c r="G38" s="137"/>
      <c r="H38" s="32"/>
      <c r="I38" s="115"/>
      <c r="J38" s="36"/>
      <c r="K38" s="36"/>
      <c r="L38" s="36"/>
      <c r="M38" s="36"/>
      <c r="N38" s="116"/>
    </row>
    <row r="39" spans="1:16" x14ac:dyDescent="0.2">
      <c r="A39" s="111" t="s">
        <v>143</v>
      </c>
      <c r="B39" s="152" t="e">
        <f t="shared" ref="B39:G39" si="2">+B37+B32</f>
        <v>#REF!</v>
      </c>
      <c r="C39" s="153" t="e">
        <f t="shared" si="2"/>
        <v>#DIV/0!</v>
      </c>
      <c r="D39" s="153" t="e">
        <f t="shared" si="2"/>
        <v>#DIV/0!</v>
      </c>
      <c r="E39" s="153" t="e">
        <f t="shared" si="2"/>
        <v>#DIV/0!</v>
      </c>
      <c r="F39" s="153">
        <f t="shared" si="2"/>
        <v>50615.540352895863</v>
      </c>
      <c r="G39" s="153">
        <f t="shared" si="2"/>
        <v>51221.0498174811</v>
      </c>
      <c r="H39" s="32"/>
      <c r="I39" s="115"/>
      <c r="J39" s="36"/>
      <c r="K39" s="36"/>
      <c r="L39" s="36"/>
      <c r="M39" s="36"/>
      <c r="N39" s="116"/>
    </row>
    <row r="40" spans="1:16" x14ac:dyDescent="0.2">
      <c r="A40" s="154"/>
      <c r="B40" s="104"/>
      <c r="C40" s="155"/>
      <c r="D40" s="155"/>
      <c r="E40" s="155"/>
      <c r="F40" s="155"/>
      <c r="G40" s="156"/>
      <c r="H40" s="32"/>
      <c r="I40" s="115"/>
      <c r="J40" s="36"/>
      <c r="K40" s="36"/>
      <c r="L40" s="36"/>
      <c r="M40" s="36"/>
      <c r="N40" s="116"/>
    </row>
    <row r="41" spans="1:16" x14ac:dyDescent="0.2">
      <c r="A41" s="99" t="s">
        <v>144</v>
      </c>
      <c r="B41" s="104"/>
      <c r="C41" s="155"/>
      <c r="D41" s="155"/>
      <c r="E41" s="155"/>
      <c r="F41" s="155"/>
      <c r="G41" s="156"/>
      <c r="H41" s="32"/>
      <c r="I41" s="115"/>
      <c r="J41" s="36"/>
      <c r="K41" s="36"/>
      <c r="L41" s="36"/>
      <c r="M41" s="36"/>
      <c r="N41" s="116"/>
    </row>
    <row r="42" spans="1:16" x14ac:dyDescent="0.2">
      <c r="A42" s="103"/>
      <c r="B42" s="104"/>
      <c r="C42" s="155"/>
      <c r="D42" s="155"/>
      <c r="E42" s="155"/>
      <c r="F42" s="155"/>
      <c r="G42" s="156"/>
      <c r="H42" s="32"/>
      <c r="I42" s="115"/>
      <c r="J42" s="36"/>
      <c r="K42" s="36"/>
      <c r="L42" s="36"/>
      <c r="M42" s="36"/>
      <c r="N42" s="116"/>
    </row>
    <row r="43" spans="1:16" x14ac:dyDescent="0.2">
      <c r="A43" s="107" t="s">
        <v>124</v>
      </c>
      <c r="B43" s="104"/>
      <c r="C43" s="155"/>
      <c r="D43" s="155"/>
      <c r="E43" s="155"/>
      <c r="F43" s="155"/>
      <c r="G43" s="156"/>
      <c r="H43" s="32"/>
      <c r="I43" s="115"/>
      <c r="J43" s="36"/>
      <c r="K43" s="36"/>
      <c r="L43" s="36"/>
      <c r="M43" s="36"/>
      <c r="N43" s="116"/>
    </row>
    <row r="44" spans="1:16" x14ac:dyDescent="0.2">
      <c r="A44" s="111" t="s">
        <v>2</v>
      </c>
      <c r="B44" s="112"/>
      <c r="C44" s="113"/>
      <c r="D44" s="113"/>
      <c r="E44" s="113"/>
      <c r="F44" s="113"/>
      <c r="G44" s="114"/>
      <c r="H44" s="32"/>
      <c r="I44" s="115"/>
      <c r="J44" s="36"/>
      <c r="K44" s="36"/>
      <c r="L44" s="36"/>
      <c r="M44" s="36"/>
      <c r="N44" s="116"/>
    </row>
    <row r="45" spans="1:16" x14ac:dyDescent="0.2">
      <c r="A45" s="117" t="s">
        <v>127</v>
      </c>
      <c r="B45" s="120">
        <f t="shared" ref="B45:G45" si="3">B24+SUM(B46:B50)</f>
        <v>26</v>
      </c>
      <c r="C45" s="120">
        <f t="shared" si="3"/>
        <v>32.727272727272727</v>
      </c>
      <c r="D45" s="120">
        <f t="shared" si="3"/>
        <v>33.218181818181812</v>
      </c>
      <c r="E45" s="120">
        <f t="shared" si="3"/>
        <v>33.716454545454539</v>
      </c>
      <c r="F45" s="120">
        <f t="shared" si="3"/>
        <v>34.222201363636351</v>
      </c>
      <c r="G45" s="120">
        <f t="shared" si="3"/>
        <v>34.73553438409089</v>
      </c>
      <c r="H45" s="32"/>
      <c r="I45" s="115"/>
      <c r="J45" s="36"/>
      <c r="K45" s="36"/>
      <c r="L45" s="36"/>
      <c r="M45" s="36"/>
      <c r="N45" s="116"/>
    </row>
    <row r="46" spans="1:16" x14ac:dyDescent="0.2">
      <c r="A46" s="125" t="s">
        <v>128</v>
      </c>
      <c r="B46" s="118"/>
      <c r="C46" s="120"/>
      <c r="D46" s="120"/>
      <c r="E46" s="120"/>
      <c r="F46" s="120"/>
      <c r="G46" s="121"/>
      <c r="H46" s="32"/>
      <c r="I46" s="115"/>
      <c r="J46" s="36"/>
      <c r="K46" s="36"/>
      <c r="L46" s="36"/>
      <c r="M46" s="36"/>
      <c r="N46" s="116"/>
    </row>
    <row r="47" spans="1:16" x14ac:dyDescent="0.2">
      <c r="A47" s="125" t="s">
        <v>130</v>
      </c>
      <c r="B47" s="118"/>
      <c r="C47" s="120"/>
      <c r="D47" s="120"/>
      <c r="E47" s="120"/>
      <c r="F47" s="120"/>
      <c r="G47" s="121"/>
      <c r="H47" s="32"/>
      <c r="I47" s="115"/>
      <c r="J47" s="36"/>
      <c r="K47" s="36"/>
      <c r="L47" s="36"/>
      <c r="M47" s="36"/>
      <c r="N47" s="116"/>
    </row>
    <row r="48" spans="1:16" x14ac:dyDescent="0.2">
      <c r="A48" s="125" t="s">
        <v>132</v>
      </c>
      <c r="B48" s="118"/>
      <c r="C48" s="120"/>
      <c r="D48" s="120"/>
      <c r="E48" s="120"/>
      <c r="F48" s="120"/>
      <c r="G48" s="120"/>
      <c r="H48" s="32"/>
      <c r="I48" s="115"/>
      <c r="J48" s="36"/>
      <c r="K48" s="36"/>
      <c r="L48" s="36"/>
      <c r="M48" s="36"/>
      <c r="N48" s="116"/>
    </row>
    <row r="49" spans="1:14" x14ac:dyDescent="0.2">
      <c r="A49" s="125" t="s">
        <v>145</v>
      </c>
      <c r="B49" s="118"/>
      <c r="C49" s="120"/>
      <c r="D49" s="120"/>
      <c r="E49" s="120">
        <v>0</v>
      </c>
      <c r="F49" s="120">
        <v>0</v>
      </c>
      <c r="G49" s="120">
        <v>0</v>
      </c>
      <c r="H49" s="32"/>
      <c r="I49" s="115"/>
      <c r="J49" s="36"/>
      <c r="K49" s="36"/>
      <c r="L49" s="36"/>
      <c r="M49" s="36"/>
      <c r="N49" s="116"/>
    </row>
    <row r="50" spans="1:14" x14ac:dyDescent="0.2">
      <c r="A50" s="125" t="s">
        <v>134</v>
      </c>
      <c r="B50" s="118"/>
      <c r="C50" s="120"/>
      <c r="D50" s="120"/>
      <c r="E50" s="120"/>
      <c r="F50" s="120"/>
      <c r="G50" s="121"/>
      <c r="H50" s="32"/>
      <c r="I50" s="115"/>
      <c r="J50" s="36"/>
      <c r="K50" s="36"/>
      <c r="L50" s="36"/>
      <c r="M50" s="36"/>
      <c r="N50" s="116"/>
    </row>
    <row r="51" spans="1:14" x14ac:dyDescent="0.2">
      <c r="A51" s="128" t="s">
        <v>135</v>
      </c>
      <c r="B51" s="129" t="e">
        <f>[3]F1!B11</f>
        <v>#REF!</v>
      </c>
      <c r="C51" s="130" t="e">
        <f>[3]F1!C11</f>
        <v>#REF!</v>
      </c>
      <c r="D51" s="130" t="e">
        <f>[3]F1!D11</f>
        <v>#REF!</v>
      </c>
      <c r="E51" s="130">
        <v>0</v>
      </c>
      <c r="F51" s="130">
        <v>0</v>
      </c>
      <c r="G51" s="148">
        <v>0</v>
      </c>
      <c r="H51" s="32"/>
      <c r="I51" s="115"/>
      <c r="J51" s="36"/>
      <c r="K51" s="36"/>
      <c r="L51" s="36"/>
      <c r="M51" s="36"/>
      <c r="N51" s="116"/>
    </row>
    <row r="52" spans="1:14" x14ac:dyDescent="0.2">
      <c r="A52" s="131" t="s">
        <v>146</v>
      </c>
      <c r="B52" s="149" t="e">
        <f t="shared" ref="B52:G52" si="4">B51*B45</f>
        <v>#REF!</v>
      </c>
      <c r="C52" s="150" t="e">
        <f t="shared" si="4"/>
        <v>#REF!</v>
      </c>
      <c r="D52" s="150" t="e">
        <f t="shared" si="4"/>
        <v>#REF!</v>
      </c>
      <c r="E52" s="150">
        <f t="shared" si="4"/>
        <v>0</v>
      </c>
      <c r="F52" s="150">
        <f t="shared" si="4"/>
        <v>0</v>
      </c>
      <c r="G52" s="151">
        <f t="shared" si="4"/>
        <v>0</v>
      </c>
      <c r="H52" s="32"/>
      <c r="I52" s="115"/>
      <c r="J52" s="36"/>
      <c r="K52" s="36"/>
      <c r="L52" s="36"/>
      <c r="M52" s="36"/>
      <c r="N52" s="116"/>
    </row>
    <row r="53" spans="1:14" x14ac:dyDescent="0.2">
      <c r="A53" s="134"/>
      <c r="B53" s="135"/>
      <c r="C53" s="136"/>
      <c r="D53" s="136"/>
      <c r="E53" s="136"/>
      <c r="F53" s="136"/>
      <c r="G53" s="137"/>
      <c r="H53" s="32"/>
      <c r="I53" s="115"/>
      <c r="J53" s="36"/>
      <c r="K53" s="36"/>
      <c r="L53" s="36"/>
      <c r="M53" s="36"/>
      <c r="N53" s="116"/>
    </row>
    <row r="54" spans="1:14" x14ac:dyDescent="0.2">
      <c r="A54" s="111" t="s">
        <v>4</v>
      </c>
      <c r="B54" s="138"/>
      <c r="C54" s="139"/>
      <c r="D54" s="139"/>
      <c r="E54" s="139"/>
      <c r="F54" s="139"/>
      <c r="G54" s="140"/>
      <c r="H54" s="32"/>
      <c r="I54" s="115"/>
      <c r="J54" s="36"/>
      <c r="K54" s="36"/>
      <c r="L54" s="36"/>
      <c r="M54" s="36"/>
      <c r="N54" s="116"/>
    </row>
    <row r="55" spans="1:14" x14ac:dyDescent="0.2">
      <c r="A55" s="117" t="s">
        <v>138</v>
      </c>
      <c r="B55" s="157">
        <f t="shared" ref="B55:G55" si="5">B35</f>
        <v>46.400000000000006</v>
      </c>
      <c r="C55" s="142">
        <f t="shared" si="5"/>
        <v>47.792000000000009</v>
      </c>
      <c r="D55" s="142">
        <f t="shared" si="5"/>
        <v>49.225760000000008</v>
      </c>
      <c r="E55" s="142">
        <f t="shared" si="5"/>
        <v>50.702532800000007</v>
      </c>
      <c r="F55" s="142">
        <f t="shared" si="5"/>
        <v>52.223608784000007</v>
      </c>
      <c r="G55" s="143">
        <f t="shared" si="5"/>
        <v>53.790317047520006</v>
      </c>
      <c r="H55" s="32"/>
      <c r="I55" s="115"/>
      <c r="J55" s="36"/>
      <c r="K55" s="36"/>
      <c r="L55" s="36"/>
      <c r="M55" s="36"/>
      <c r="N55" s="116"/>
    </row>
    <row r="56" spans="1:14" x14ac:dyDescent="0.2">
      <c r="A56" s="128" t="s">
        <v>141</v>
      </c>
      <c r="B56" s="129">
        <f>'F1'!B32</f>
        <v>0</v>
      </c>
      <c r="C56" s="130">
        <f>'F1'!C32</f>
        <v>0</v>
      </c>
      <c r="D56" s="130">
        <f>'F1'!D32</f>
        <v>0</v>
      </c>
      <c r="E56" s="130">
        <v>0</v>
      </c>
      <c r="F56" s="130">
        <v>0</v>
      </c>
      <c r="G56" s="148">
        <v>0</v>
      </c>
      <c r="H56" s="32"/>
      <c r="I56" s="115"/>
      <c r="J56" s="36"/>
      <c r="K56" s="36"/>
      <c r="L56" s="36"/>
      <c r="M56" s="36"/>
      <c r="N56" s="116"/>
    </row>
    <row r="57" spans="1:14" x14ac:dyDescent="0.2">
      <c r="A57" s="131" t="s">
        <v>147</v>
      </c>
      <c r="B57" s="149">
        <f t="shared" ref="B57:G57" si="6">B56*B55</f>
        <v>0</v>
      </c>
      <c r="C57" s="150">
        <f t="shared" si="6"/>
        <v>0</v>
      </c>
      <c r="D57" s="150">
        <f t="shared" si="6"/>
        <v>0</v>
      </c>
      <c r="E57" s="150">
        <f t="shared" si="6"/>
        <v>0</v>
      </c>
      <c r="F57" s="150">
        <f t="shared" si="6"/>
        <v>0</v>
      </c>
      <c r="G57" s="151">
        <f t="shared" si="6"/>
        <v>0</v>
      </c>
      <c r="H57" s="32"/>
      <c r="I57" s="115"/>
      <c r="J57" s="36"/>
      <c r="K57" s="36"/>
      <c r="L57" s="36"/>
      <c r="M57" s="36"/>
      <c r="N57" s="116"/>
    </row>
    <row r="58" spans="1:14" x14ac:dyDescent="0.2">
      <c r="A58" s="134"/>
      <c r="B58" s="135"/>
      <c r="C58" s="136"/>
      <c r="D58" s="136"/>
      <c r="E58" s="136"/>
      <c r="F58" s="136"/>
      <c r="G58" s="137"/>
      <c r="H58" s="32"/>
      <c r="I58" s="115"/>
      <c r="J58" s="36"/>
      <c r="K58" s="36"/>
      <c r="L58" s="36"/>
      <c r="M58" s="36"/>
      <c r="N58" s="116"/>
    </row>
    <row r="59" spans="1:14" x14ac:dyDescent="0.2">
      <c r="A59" s="111" t="s">
        <v>148</v>
      </c>
      <c r="B59" s="149" t="e">
        <f t="shared" ref="B59:G59" si="7">B57+B52</f>
        <v>#REF!</v>
      </c>
      <c r="C59" s="150" t="e">
        <f t="shared" si="7"/>
        <v>#REF!</v>
      </c>
      <c r="D59" s="150" t="e">
        <f t="shared" si="7"/>
        <v>#REF!</v>
      </c>
      <c r="E59" s="150">
        <f t="shared" si="7"/>
        <v>0</v>
      </c>
      <c r="F59" s="150">
        <f t="shared" si="7"/>
        <v>0</v>
      </c>
      <c r="G59" s="151">
        <f t="shared" si="7"/>
        <v>0</v>
      </c>
      <c r="H59" s="32"/>
      <c r="I59" s="115"/>
      <c r="J59" s="36"/>
      <c r="K59" s="36"/>
      <c r="L59" s="36"/>
      <c r="M59" s="36"/>
      <c r="N59" s="116"/>
    </row>
    <row r="60" spans="1:14" x14ac:dyDescent="0.2">
      <c r="A60" s="154"/>
      <c r="B60" s="104"/>
      <c r="C60" s="155"/>
      <c r="D60" s="155"/>
      <c r="E60" s="155"/>
      <c r="F60" s="155"/>
      <c r="G60" s="156"/>
      <c r="H60" s="32"/>
      <c r="I60" s="115"/>
      <c r="J60" s="36"/>
      <c r="K60" s="36"/>
      <c r="L60" s="36"/>
      <c r="M60" s="36"/>
      <c r="N60" s="116"/>
    </row>
    <row r="61" spans="1:14" x14ac:dyDescent="0.2">
      <c r="A61" s="99" t="s">
        <v>149</v>
      </c>
      <c r="B61" s="104"/>
      <c r="C61" s="155"/>
      <c r="D61" s="155"/>
      <c r="E61" s="155"/>
      <c r="F61" s="155"/>
      <c r="G61" s="156"/>
      <c r="H61" s="32"/>
      <c r="I61" s="115"/>
      <c r="J61" s="36"/>
      <c r="K61" s="36"/>
      <c r="L61" s="36"/>
      <c r="M61" s="36"/>
      <c r="N61" s="116"/>
    </row>
    <row r="62" spans="1:14" x14ac:dyDescent="0.2">
      <c r="A62" s="103"/>
      <c r="B62" s="104"/>
      <c r="C62" s="155"/>
      <c r="D62" s="155"/>
      <c r="E62" s="155"/>
      <c r="F62" s="155"/>
      <c r="G62" s="156"/>
      <c r="H62" s="32"/>
      <c r="I62" s="115"/>
      <c r="J62" s="36"/>
      <c r="K62" s="36"/>
      <c r="L62" s="36"/>
      <c r="M62" s="36"/>
      <c r="N62" s="116"/>
    </row>
    <row r="63" spans="1:14" x14ac:dyDescent="0.2">
      <c r="A63" s="107" t="s">
        <v>124</v>
      </c>
      <c r="B63" s="104"/>
      <c r="C63" s="155"/>
      <c r="D63" s="155"/>
      <c r="E63" s="155"/>
      <c r="F63" s="155"/>
      <c r="G63" s="156"/>
      <c r="H63" s="32"/>
      <c r="I63" s="115"/>
      <c r="J63" s="36"/>
      <c r="K63" s="36"/>
      <c r="L63" s="36"/>
      <c r="M63" s="36"/>
      <c r="N63" s="116"/>
    </row>
    <row r="64" spans="1:14" x14ac:dyDescent="0.2">
      <c r="A64" s="111" t="s">
        <v>2</v>
      </c>
      <c r="B64" s="112"/>
      <c r="C64" s="113"/>
      <c r="D64" s="113"/>
      <c r="E64" s="113"/>
      <c r="F64" s="113"/>
      <c r="G64" s="114"/>
      <c r="H64" s="32"/>
      <c r="I64" s="115"/>
      <c r="J64" s="36"/>
      <c r="K64" s="36"/>
      <c r="L64" s="36"/>
      <c r="M64" s="36"/>
      <c r="N64" s="116"/>
    </row>
    <row r="65" spans="1:14" x14ac:dyDescent="0.2">
      <c r="A65" s="117" t="s">
        <v>127</v>
      </c>
      <c r="B65" s="118">
        <f t="shared" ref="B65:G65" si="8">B24+SUM(B66:B70)</f>
        <v>26</v>
      </c>
      <c r="C65" s="118">
        <f t="shared" si="8"/>
        <v>32.727272727272727</v>
      </c>
      <c r="D65" s="118">
        <f t="shared" si="8"/>
        <v>33.218181818181812</v>
      </c>
      <c r="E65" s="118">
        <f t="shared" si="8"/>
        <v>35.536558916454538</v>
      </c>
      <c r="F65" s="118">
        <f t="shared" si="8"/>
        <v>46.014127593541694</v>
      </c>
      <c r="G65" s="118">
        <f t="shared" si="8"/>
        <v>46.564590743164636</v>
      </c>
      <c r="H65" s="32"/>
      <c r="I65" s="115"/>
      <c r="J65" s="36"/>
      <c r="K65" s="36"/>
      <c r="L65" s="36"/>
      <c r="M65" s="36"/>
      <c r="N65" s="116"/>
    </row>
    <row r="66" spans="1:14" x14ac:dyDescent="0.2">
      <c r="A66" s="125" t="s">
        <v>128</v>
      </c>
      <c r="B66" s="118"/>
      <c r="C66" s="120"/>
      <c r="D66" s="120"/>
      <c r="E66" s="120"/>
      <c r="F66" s="120"/>
      <c r="G66" s="121"/>
      <c r="H66" s="32"/>
      <c r="I66" s="115"/>
      <c r="J66" s="36"/>
      <c r="K66" s="36"/>
      <c r="L66" s="36"/>
      <c r="M66" s="36"/>
      <c r="N66" s="116"/>
    </row>
    <row r="67" spans="1:14" x14ac:dyDescent="0.2">
      <c r="A67" s="125" t="s">
        <v>130</v>
      </c>
      <c r="B67" s="118"/>
      <c r="C67" s="120"/>
      <c r="D67" s="120"/>
      <c r="E67" s="120"/>
      <c r="F67" s="120"/>
      <c r="G67" s="121"/>
      <c r="H67" s="32"/>
      <c r="I67" s="115"/>
      <c r="J67" s="36"/>
      <c r="K67" s="36"/>
      <c r="L67" s="36"/>
      <c r="M67" s="36"/>
      <c r="N67" s="116"/>
    </row>
    <row r="68" spans="1:14" x14ac:dyDescent="0.2">
      <c r="A68" s="125" t="s">
        <v>132</v>
      </c>
      <c r="B68" s="118"/>
      <c r="C68" s="120"/>
      <c r="D68" s="120"/>
      <c r="E68" s="120">
        <v>0</v>
      </c>
      <c r="F68" s="120">
        <f>'F1'!F167/'F4'!F71</f>
        <v>9.9354197714853445</v>
      </c>
      <c r="G68" s="120">
        <f>'F1'!G167/'F4'!G71</f>
        <v>9.9354197714853445</v>
      </c>
      <c r="H68" s="32"/>
      <c r="I68" s="115"/>
      <c r="J68" s="36"/>
      <c r="K68" s="36"/>
      <c r="L68" s="36"/>
      <c r="M68" s="36"/>
      <c r="N68" s="116"/>
    </row>
    <row r="69" spans="1:14" x14ac:dyDescent="0.2">
      <c r="A69" s="125" t="s">
        <v>145</v>
      </c>
      <c r="B69" s="118"/>
      <c r="C69" s="120"/>
      <c r="D69" s="120"/>
      <c r="E69" s="120">
        <f>'F1'!E178*'F1'!E190*L198</f>
        <v>1.820104371</v>
      </c>
      <c r="F69" s="120">
        <f>'F1'!F178*'F1'!F190*M198</f>
        <v>1.8565064584199997</v>
      </c>
      <c r="G69" s="120">
        <f>'F1'!G178*'F1'!G190*N198</f>
        <v>1.8936365875883998</v>
      </c>
      <c r="H69" s="32"/>
      <c r="I69" s="115"/>
      <c r="J69" s="36"/>
      <c r="K69" s="36"/>
      <c r="L69" s="36"/>
      <c r="M69" s="36"/>
      <c r="N69" s="116"/>
    </row>
    <row r="70" spans="1:14" x14ac:dyDescent="0.2">
      <c r="A70" s="125" t="s">
        <v>134</v>
      </c>
      <c r="B70" s="118"/>
      <c r="C70" s="120"/>
      <c r="D70" s="120"/>
      <c r="E70" s="120"/>
      <c r="F70" s="120"/>
      <c r="G70" s="121"/>
      <c r="H70" s="32"/>
      <c r="I70" s="115"/>
      <c r="J70" s="36"/>
      <c r="K70" s="36"/>
      <c r="L70" s="36"/>
      <c r="M70" s="36"/>
      <c r="N70" s="116"/>
    </row>
    <row r="71" spans="1:14" x14ac:dyDescent="0.2">
      <c r="A71" s="128" t="s">
        <v>135</v>
      </c>
      <c r="B71" s="129">
        <f>'F1'!B15</f>
        <v>0</v>
      </c>
      <c r="C71" s="130">
        <f>'F1'!C15</f>
        <v>0</v>
      </c>
      <c r="D71" s="130">
        <f>'F1'!D15</f>
        <v>0</v>
      </c>
      <c r="E71" s="130">
        <f>'F1'!E15</f>
        <v>0</v>
      </c>
      <c r="F71" s="130">
        <f>'F1'!F15</f>
        <v>3365</v>
      </c>
      <c r="G71" s="148">
        <f>'F1'!G15</f>
        <v>3365</v>
      </c>
      <c r="H71" s="32"/>
      <c r="I71" s="115"/>
      <c r="J71" s="36"/>
      <c r="K71" s="36"/>
      <c r="L71" s="36"/>
      <c r="M71" s="36"/>
      <c r="N71" s="116"/>
    </row>
    <row r="72" spans="1:14" x14ac:dyDescent="0.2">
      <c r="A72" s="131" t="s">
        <v>150</v>
      </c>
      <c r="B72" s="149">
        <f t="shared" ref="B72:G72" si="9">B71*B65</f>
        <v>0</v>
      </c>
      <c r="C72" s="150">
        <f t="shared" si="9"/>
        <v>0</v>
      </c>
      <c r="D72" s="150">
        <f t="shared" si="9"/>
        <v>0</v>
      </c>
      <c r="E72" s="150">
        <f t="shared" si="9"/>
        <v>0</v>
      </c>
      <c r="F72" s="150">
        <f t="shared" si="9"/>
        <v>154837.53935226781</v>
      </c>
      <c r="G72" s="151">
        <f t="shared" si="9"/>
        <v>156689.84785074901</v>
      </c>
      <c r="H72" s="32"/>
      <c r="I72" s="115"/>
      <c r="J72" s="36"/>
      <c r="K72" s="36"/>
      <c r="L72" s="36"/>
      <c r="M72" s="36"/>
      <c r="N72" s="116"/>
    </row>
    <row r="73" spans="1:14" x14ac:dyDescent="0.2">
      <c r="A73" s="134"/>
      <c r="B73" s="135"/>
      <c r="C73" s="136"/>
      <c r="D73" s="136"/>
      <c r="E73" s="136"/>
      <c r="F73" s="136"/>
      <c r="G73" s="137"/>
      <c r="H73" s="32"/>
      <c r="I73" s="115"/>
      <c r="J73" s="36"/>
      <c r="K73" s="36"/>
      <c r="L73" s="36"/>
      <c r="M73" s="36"/>
      <c r="N73" s="116"/>
    </row>
    <row r="74" spans="1:14" x14ac:dyDescent="0.2">
      <c r="A74" s="111" t="s">
        <v>4</v>
      </c>
      <c r="B74" s="138"/>
      <c r="C74" s="139"/>
      <c r="D74" s="139"/>
      <c r="E74" s="139"/>
      <c r="F74" s="139"/>
      <c r="G74" s="140"/>
      <c r="H74" s="32"/>
      <c r="I74" s="115"/>
      <c r="J74" s="36"/>
      <c r="K74" s="36"/>
      <c r="L74" s="36"/>
      <c r="M74" s="36"/>
      <c r="N74" s="116"/>
    </row>
    <row r="75" spans="1:14" x14ac:dyDescent="0.2">
      <c r="A75" s="117" t="s">
        <v>138</v>
      </c>
      <c r="B75" s="157">
        <f t="shared" ref="B75:G75" si="10">B55</f>
        <v>46.400000000000006</v>
      </c>
      <c r="C75" s="142">
        <f t="shared" si="10"/>
        <v>47.792000000000009</v>
      </c>
      <c r="D75" s="142">
        <f t="shared" si="10"/>
        <v>49.225760000000008</v>
      </c>
      <c r="E75" s="142">
        <f t="shared" si="10"/>
        <v>50.702532800000007</v>
      </c>
      <c r="F75" s="142">
        <f t="shared" si="10"/>
        <v>52.223608784000007</v>
      </c>
      <c r="G75" s="143">
        <f t="shared" si="10"/>
        <v>53.790317047520006</v>
      </c>
      <c r="H75" s="32"/>
      <c r="I75" s="115"/>
      <c r="J75" s="36"/>
      <c r="K75" s="36"/>
      <c r="L75" s="36"/>
      <c r="M75" s="36"/>
      <c r="N75" s="116"/>
    </row>
    <row r="76" spans="1:14" x14ac:dyDescent="0.2">
      <c r="A76" s="128" t="s">
        <v>141</v>
      </c>
      <c r="B76" s="129">
        <f>'F1'!B36</f>
        <v>0</v>
      </c>
      <c r="C76" s="130">
        <f>'F1'!C36</f>
        <v>0</v>
      </c>
      <c r="D76" s="130">
        <f>'F1'!D36</f>
        <v>0</v>
      </c>
      <c r="E76" s="130">
        <f>'F1'!E36</f>
        <v>0</v>
      </c>
      <c r="F76" s="130">
        <f>'F1'!F36</f>
        <v>565</v>
      </c>
      <c r="G76" s="148">
        <f>'F1'!G36</f>
        <v>565</v>
      </c>
      <c r="H76" s="32"/>
      <c r="I76" s="115"/>
      <c r="J76" s="36"/>
      <c r="K76" s="36"/>
      <c r="L76" s="36"/>
      <c r="M76" s="36"/>
      <c r="N76" s="116"/>
    </row>
    <row r="77" spans="1:14" x14ac:dyDescent="0.2">
      <c r="A77" s="131" t="s">
        <v>151</v>
      </c>
      <c r="B77" s="149">
        <f t="shared" ref="B77:G77" si="11">B76*B75</f>
        <v>0</v>
      </c>
      <c r="C77" s="150">
        <f t="shared" si="11"/>
        <v>0</v>
      </c>
      <c r="D77" s="150">
        <f t="shared" si="11"/>
        <v>0</v>
      </c>
      <c r="E77" s="150">
        <f t="shared" si="11"/>
        <v>0</v>
      </c>
      <c r="F77" s="150">
        <f t="shared" si="11"/>
        <v>29506.338962960002</v>
      </c>
      <c r="G77" s="151">
        <f t="shared" si="11"/>
        <v>30391.529131848802</v>
      </c>
      <c r="H77" s="32"/>
      <c r="I77" s="115"/>
      <c r="J77" s="36"/>
      <c r="K77" s="36"/>
      <c r="L77" s="36"/>
      <c r="M77" s="36"/>
      <c r="N77" s="116"/>
    </row>
    <row r="78" spans="1:14" x14ac:dyDescent="0.2">
      <c r="A78" s="134"/>
      <c r="B78" s="135"/>
      <c r="C78" s="136"/>
      <c r="D78" s="136"/>
      <c r="E78" s="136"/>
      <c r="F78" s="136"/>
      <c r="G78" s="137"/>
      <c r="H78" s="32"/>
      <c r="I78" s="115"/>
      <c r="J78" s="36"/>
      <c r="K78" s="36"/>
      <c r="L78" s="36"/>
      <c r="M78" s="36"/>
      <c r="N78" s="116"/>
    </row>
    <row r="79" spans="1:14" x14ac:dyDescent="0.2">
      <c r="A79" s="111" t="s">
        <v>152</v>
      </c>
      <c r="B79" s="149">
        <f t="shared" ref="B79:G79" si="12">B77+B72</f>
        <v>0</v>
      </c>
      <c r="C79" s="150">
        <f t="shared" si="12"/>
        <v>0</v>
      </c>
      <c r="D79" s="150">
        <f t="shared" si="12"/>
        <v>0</v>
      </c>
      <c r="E79" s="150">
        <f t="shared" si="12"/>
        <v>0</v>
      </c>
      <c r="F79" s="150">
        <f t="shared" si="12"/>
        <v>184343.8783152278</v>
      </c>
      <c r="G79" s="151">
        <f t="shared" si="12"/>
        <v>187081.37698259781</v>
      </c>
      <c r="H79" s="32"/>
      <c r="I79" s="115"/>
      <c r="J79" s="36"/>
      <c r="K79" s="36"/>
      <c r="L79" s="36"/>
      <c r="M79" s="36"/>
      <c r="N79" s="116"/>
    </row>
    <row r="80" spans="1:14" x14ac:dyDescent="0.2">
      <c r="A80" s="158"/>
      <c r="B80" s="149"/>
      <c r="C80" s="150"/>
      <c r="D80" s="150"/>
      <c r="E80" s="150"/>
      <c r="F80" s="150"/>
      <c r="G80" s="151"/>
      <c r="H80" s="32"/>
      <c r="I80" s="115"/>
      <c r="J80" s="36"/>
      <c r="K80" s="36"/>
      <c r="L80" s="36"/>
      <c r="M80" s="36"/>
      <c r="N80" s="116"/>
    </row>
    <row r="81" spans="1:14" x14ac:dyDescent="0.2">
      <c r="A81" s="99" t="s">
        <v>153</v>
      </c>
      <c r="B81" s="104"/>
      <c r="C81" s="155"/>
      <c r="D81" s="155"/>
      <c r="E81" s="155"/>
      <c r="F81" s="155"/>
      <c r="G81" s="156"/>
      <c r="H81" s="32"/>
      <c r="I81" s="115"/>
      <c r="J81" s="36"/>
      <c r="K81" s="36"/>
      <c r="L81" s="36"/>
      <c r="M81" s="36"/>
      <c r="N81" s="116"/>
    </row>
    <row r="82" spans="1:14" x14ac:dyDescent="0.2">
      <c r="A82" s="103"/>
      <c r="B82" s="104"/>
      <c r="C82" s="155"/>
      <c r="D82" s="155"/>
      <c r="E82" s="155"/>
      <c r="F82" s="155"/>
      <c r="G82" s="156"/>
      <c r="H82" s="32"/>
      <c r="I82" s="115"/>
      <c r="J82" s="36"/>
      <c r="K82" s="36"/>
      <c r="L82" s="36"/>
      <c r="M82" s="36"/>
      <c r="N82" s="116"/>
    </row>
    <row r="83" spans="1:14" x14ac:dyDescent="0.2">
      <c r="A83" s="107" t="s">
        <v>124</v>
      </c>
      <c r="B83" s="104"/>
      <c r="C83" s="155"/>
      <c r="D83" s="155"/>
      <c r="E83" s="155"/>
      <c r="F83" s="155"/>
      <c r="G83" s="156"/>
      <c r="H83" s="32"/>
      <c r="I83" s="115"/>
      <c r="J83" s="36"/>
      <c r="K83" s="36"/>
      <c r="L83" s="36"/>
      <c r="M83" s="36"/>
      <c r="N83" s="116"/>
    </row>
    <row r="84" spans="1:14" x14ac:dyDescent="0.2">
      <c r="A84" s="111" t="s">
        <v>2</v>
      </c>
      <c r="B84" s="112"/>
      <c r="C84" s="113"/>
      <c r="D84" s="113"/>
      <c r="E84" s="113"/>
      <c r="F84" s="113"/>
      <c r="G84" s="114"/>
      <c r="H84" s="32"/>
      <c r="I84" s="115"/>
      <c r="J84" s="36"/>
      <c r="K84" s="36"/>
      <c r="L84" s="36"/>
      <c r="M84" s="36"/>
      <c r="N84" s="116"/>
    </row>
    <row r="85" spans="1:14" x14ac:dyDescent="0.2">
      <c r="A85" s="117" t="s">
        <v>127</v>
      </c>
      <c r="B85" s="118">
        <f t="shared" ref="B85:G85" si="13">B24+SUM(B86:B90)</f>
        <v>26</v>
      </c>
      <c r="C85" s="118">
        <f t="shared" si="13"/>
        <v>32.727272727272727</v>
      </c>
      <c r="D85" s="118">
        <f t="shared" si="13"/>
        <v>33.218181818181812</v>
      </c>
      <c r="E85" s="118">
        <f t="shared" si="13"/>
        <v>35.536558916454538</v>
      </c>
      <c r="F85" s="118">
        <f t="shared" si="13"/>
        <v>36.078707822056352</v>
      </c>
      <c r="G85" s="118">
        <f t="shared" si="13"/>
        <v>36.629170971679287</v>
      </c>
      <c r="H85" s="32"/>
      <c r="I85" s="115"/>
      <c r="J85" s="36"/>
      <c r="K85" s="36"/>
      <c r="L85" s="36"/>
      <c r="M85" s="36"/>
      <c r="N85" s="116"/>
    </row>
    <row r="86" spans="1:14" x14ac:dyDescent="0.2">
      <c r="A86" s="125" t="s">
        <v>128</v>
      </c>
      <c r="B86" s="118"/>
      <c r="C86" s="120"/>
      <c r="D86" s="120"/>
      <c r="E86" s="120"/>
      <c r="F86" s="120"/>
      <c r="G86" s="121"/>
      <c r="H86" s="32"/>
      <c r="I86" s="115"/>
      <c r="J86" s="36"/>
      <c r="K86" s="36"/>
      <c r="L86" s="36"/>
      <c r="M86" s="36"/>
      <c r="N86" s="116"/>
    </row>
    <row r="87" spans="1:14" x14ac:dyDescent="0.2">
      <c r="A87" s="125" t="s">
        <v>130</v>
      </c>
      <c r="B87" s="118"/>
      <c r="C87" s="120"/>
      <c r="D87" s="120"/>
      <c r="E87" s="120"/>
      <c r="F87" s="120"/>
      <c r="G87" s="121"/>
      <c r="H87" s="32"/>
      <c r="I87" s="115"/>
      <c r="J87" s="36"/>
      <c r="K87" s="36"/>
      <c r="L87" s="36"/>
      <c r="M87" s="36"/>
      <c r="N87" s="116"/>
    </row>
    <row r="88" spans="1:14" x14ac:dyDescent="0.2">
      <c r="A88" s="125" t="s">
        <v>132</v>
      </c>
      <c r="B88" s="120"/>
      <c r="C88" s="120"/>
      <c r="D88" s="120"/>
      <c r="E88" s="120">
        <v>0</v>
      </c>
      <c r="F88" s="120">
        <v>0</v>
      </c>
      <c r="G88" s="120">
        <v>0</v>
      </c>
      <c r="H88" s="32"/>
      <c r="I88" s="115"/>
      <c r="J88" s="36"/>
      <c r="K88" s="36"/>
      <c r="L88" s="36"/>
      <c r="M88" s="36"/>
      <c r="N88" s="116"/>
    </row>
    <row r="89" spans="1:14" x14ac:dyDescent="0.2">
      <c r="A89" s="125" t="s">
        <v>145</v>
      </c>
      <c r="B89" s="118"/>
      <c r="C89" s="120"/>
      <c r="D89" s="120"/>
      <c r="E89" s="120">
        <f>'F1'!E178*'F1'!E190*L198</f>
        <v>1.820104371</v>
      </c>
      <c r="F89" s="120">
        <f>'F1'!F178*'F1'!F190*M198</f>
        <v>1.8565064584199997</v>
      </c>
      <c r="G89" s="120">
        <f>'F1'!G178*'F1'!G190*N198</f>
        <v>1.8936365875883998</v>
      </c>
      <c r="H89" s="32"/>
      <c r="I89" s="115"/>
      <c r="J89" s="36"/>
      <c r="K89" s="36"/>
      <c r="L89" s="36"/>
      <c r="M89" s="36"/>
      <c r="N89" s="116"/>
    </row>
    <row r="90" spans="1:14" x14ac:dyDescent="0.2">
      <c r="A90" s="125" t="s">
        <v>134</v>
      </c>
      <c r="B90" s="118"/>
      <c r="C90" s="120"/>
      <c r="D90" s="120"/>
      <c r="E90" s="120"/>
      <c r="F90" s="120"/>
      <c r="G90" s="121"/>
      <c r="H90" s="32"/>
      <c r="I90" s="115"/>
      <c r="J90" s="36"/>
      <c r="K90" s="36"/>
      <c r="L90" s="36"/>
      <c r="M90" s="36"/>
      <c r="N90" s="116"/>
    </row>
    <row r="91" spans="1:14" x14ac:dyDescent="0.2">
      <c r="A91" s="128" t="s">
        <v>135</v>
      </c>
      <c r="B91" s="129">
        <f>'F1'!B46</f>
        <v>0</v>
      </c>
      <c r="C91" s="130"/>
      <c r="D91" s="130">
        <f>'F1'!D16</f>
        <v>0</v>
      </c>
      <c r="E91" s="130">
        <f>'F1'!E16</f>
        <v>0</v>
      </c>
      <c r="F91" s="130">
        <f>'F1'!F16</f>
        <v>0</v>
      </c>
      <c r="G91" s="130">
        <f>'F1'!G16</f>
        <v>0</v>
      </c>
      <c r="H91" s="32"/>
      <c r="I91" s="115"/>
      <c r="J91" s="36"/>
      <c r="K91" s="36"/>
      <c r="L91" s="36"/>
      <c r="M91" s="36"/>
      <c r="N91" s="116"/>
    </row>
    <row r="92" spans="1:14" x14ac:dyDescent="0.2">
      <c r="A92" s="131" t="s">
        <v>154</v>
      </c>
      <c r="B92" s="149">
        <f t="shared" ref="B92:G92" si="14">B91*B85</f>
        <v>0</v>
      </c>
      <c r="C92" s="150">
        <f t="shared" si="14"/>
        <v>0</v>
      </c>
      <c r="D92" s="150">
        <f t="shared" si="14"/>
        <v>0</v>
      </c>
      <c r="E92" s="150">
        <f t="shared" si="14"/>
        <v>0</v>
      </c>
      <c r="F92" s="150">
        <f t="shared" si="14"/>
        <v>0</v>
      </c>
      <c r="G92" s="151">
        <f t="shared" si="14"/>
        <v>0</v>
      </c>
      <c r="H92" s="32"/>
      <c r="I92" s="115"/>
      <c r="J92" s="36"/>
      <c r="K92" s="36"/>
      <c r="L92" s="36"/>
      <c r="M92" s="36"/>
      <c r="N92" s="116"/>
    </row>
    <row r="93" spans="1:14" x14ac:dyDescent="0.2">
      <c r="A93" s="134"/>
      <c r="B93" s="135"/>
      <c r="C93" s="136"/>
      <c r="D93" s="136"/>
      <c r="E93" s="136"/>
      <c r="F93" s="136"/>
      <c r="G93" s="137"/>
      <c r="H93" s="32"/>
      <c r="I93" s="115"/>
      <c r="J93" s="36"/>
      <c r="K93" s="36"/>
      <c r="L93" s="36"/>
      <c r="M93" s="36"/>
      <c r="N93" s="116"/>
    </row>
    <row r="94" spans="1:14" x14ac:dyDescent="0.2">
      <c r="A94" s="111" t="s">
        <v>4</v>
      </c>
      <c r="B94" s="138"/>
      <c r="C94" s="139"/>
      <c r="D94" s="139"/>
      <c r="E94" s="139"/>
      <c r="F94" s="139"/>
      <c r="G94" s="140"/>
      <c r="H94" s="32"/>
      <c r="I94" s="115"/>
      <c r="J94" s="36"/>
      <c r="K94" s="36"/>
      <c r="L94" s="36"/>
      <c r="M94" s="36"/>
      <c r="N94" s="116"/>
    </row>
    <row r="95" spans="1:14" x14ac:dyDescent="0.2">
      <c r="A95" s="117" t="s">
        <v>138</v>
      </c>
      <c r="B95" s="157">
        <f t="shared" ref="B95:G95" si="15">B55</f>
        <v>46.400000000000006</v>
      </c>
      <c r="C95" s="157">
        <f t="shared" si="15"/>
        <v>47.792000000000009</v>
      </c>
      <c r="D95" s="157">
        <f t="shared" si="15"/>
        <v>49.225760000000008</v>
      </c>
      <c r="E95" s="157">
        <f t="shared" si="15"/>
        <v>50.702532800000007</v>
      </c>
      <c r="F95" s="157">
        <f t="shared" si="15"/>
        <v>52.223608784000007</v>
      </c>
      <c r="G95" s="157">
        <f t="shared" si="15"/>
        <v>53.790317047520006</v>
      </c>
      <c r="H95" s="32"/>
      <c r="I95" s="115"/>
      <c r="J95" s="36"/>
      <c r="K95" s="36"/>
      <c r="L95" s="36"/>
      <c r="M95" s="36"/>
      <c r="N95" s="116"/>
    </row>
    <row r="96" spans="1:14" x14ac:dyDescent="0.2">
      <c r="A96" s="128" t="s">
        <v>141</v>
      </c>
      <c r="B96" s="129">
        <f>'F1'!B37</f>
        <v>0</v>
      </c>
      <c r="C96" s="129">
        <f>'F1'!C37</f>
        <v>0</v>
      </c>
      <c r="D96" s="129">
        <f>'F1'!D37</f>
        <v>0</v>
      </c>
      <c r="E96" s="129">
        <f>'F1'!E37</f>
        <v>0</v>
      </c>
      <c r="F96" s="129">
        <f>'F1'!F37</f>
        <v>0</v>
      </c>
      <c r="G96" s="129">
        <f>'F1'!G37</f>
        <v>0</v>
      </c>
      <c r="H96" s="32"/>
      <c r="I96" s="115"/>
      <c r="J96" s="36"/>
      <c r="K96" s="36"/>
      <c r="L96" s="36"/>
      <c r="M96" s="36"/>
      <c r="N96" s="116"/>
    </row>
    <row r="97" spans="1:14" x14ac:dyDescent="0.2">
      <c r="A97" s="131" t="s">
        <v>155</v>
      </c>
      <c r="B97" s="149">
        <f t="shared" ref="B97:G97" si="16">B96*B95</f>
        <v>0</v>
      </c>
      <c r="C97" s="150">
        <f t="shared" si="16"/>
        <v>0</v>
      </c>
      <c r="D97" s="150">
        <f t="shared" si="16"/>
        <v>0</v>
      </c>
      <c r="E97" s="150">
        <f t="shared" si="16"/>
        <v>0</v>
      </c>
      <c r="F97" s="150">
        <f t="shared" si="16"/>
        <v>0</v>
      </c>
      <c r="G97" s="151">
        <f t="shared" si="16"/>
        <v>0</v>
      </c>
      <c r="H97" s="32"/>
      <c r="I97" s="115"/>
      <c r="J97" s="36"/>
      <c r="K97" s="36"/>
      <c r="L97" s="36"/>
      <c r="M97" s="36"/>
      <c r="N97" s="116"/>
    </row>
    <row r="98" spans="1:14" x14ac:dyDescent="0.2">
      <c r="A98" s="134"/>
      <c r="B98" s="135"/>
      <c r="C98" s="136"/>
      <c r="D98" s="136"/>
      <c r="E98" s="136"/>
      <c r="F98" s="136"/>
      <c r="G98" s="137"/>
      <c r="H98" s="32"/>
      <c r="I98" s="115"/>
      <c r="J98" s="36"/>
      <c r="K98" s="36"/>
      <c r="L98" s="36"/>
      <c r="M98" s="36"/>
      <c r="N98" s="116"/>
    </row>
    <row r="99" spans="1:14" x14ac:dyDescent="0.2">
      <c r="A99" s="111" t="s">
        <v>156</v>
      </c>
      <c r="B99" s="149">
        <f t="shared" ref="B99:G99" si="17">B97+B92</f>
        <v>0</v>
      </c>
      <c r="C99" s="150">
        <f t="shared" si="17"/>
        <v>0</v>
      </c>
      <c r="D99" s="150">
        <f t="shared" si="17"/>
        <v>0</v>
      </c>
      <c r="E99" s="150">
        <f t="shared" si="17"/>
        <v>0</v>
      </c>
      <c r="F99" s="150">
        <f t="shared" si="17"/>
        <v>0</v>
      </c>
      <c r="G99" s="151">
        <f t="shared" si="17"/>
        <v>0</v>
      </c>
      <c r="H99" s="32"/>
      <c r="I99" s="115"/>
      <c r="J99" s="36"/>
      <c r="K99" s="36"/>
      <c r="L99" s="36"/>
      <c r="M99" s="36"/>
      <c r="N99" s="116"/>
    </row>
    <row r="100" spans="1:14" x14ac:dyDescent="0.2">
      <c r="A100" s="159"/>
      <c r="B100" s="160"/>
      <c r="C100" s="161"/>
      <c r="D100" s="161"/>
      <c r="E100" s="161"/>
      <c r="F100" s="161"/>
      <c r="G100" s="162"/>
      <c r="H100" s="32"/>
      <c r="I100" s="115"/>
      <c r="J100" s="36"/>
      <c r="K100" s="36"/>
      <c r="L100" s="36"/>
      <c r="M100" s="36"/>
      <c r="N100" s="116"/>
    </row>
    <row r="101" spans="1:14" ht="15.75" customHeight="1" x14ac:dyDescent="0.2">
      <c r="A101" s="99" t="s">
        <v>157</v>
      </c>
      <c r="B101" s="100"/>
      <c r="C101" s="101"/>
      <c r="D101" s="101"/>
      <c r="E101" s="101"/>
      <c r="F101" s="101"/>
      <c r="G101" s="102"/>
      <c r="H101" s="32"/>
      <c r="I101" s="115"/>
      <c r="J101" s="36"/>
      <c r="K101" s="36"/>
      <c r="L101" s="36"/>
      <c r="M101" s="36"/>
      <c r="N101" s="116"/>
    </row>
    <row r="102" spans="1:14" x14ac:dyDescent="0.2">
      <c r="A102" s="154" t="s">
        <v>158</v>
      </c>
      <c r="B102" s="104"/>
      <c r="C102" s="105"/>
      <c r="D102" s="105"/>
      <c r="E102" s="105"/>
      <c r="F102" s="105"/>
      <c r="G102" s="106"/>
      <c r="H102" s="32"/>
      <c r="I102" s="115"/>
      <c r="J102" s="36"/>
      <c r="K102" s="36"/>
      <c r="L102" s="36"/>
      <c r="M102" s="36"/>
      <c r="N102" s="116"/>
    </row>
    <row r="103" spans="1:14" x14ac:dyDescent="0.2">
      <c r="A103" s="128" t="s">
        <v>159</v>
      </c>
      <c r="B103" s="163">
        <v>0</v>
      </c>
      <c r="C103" s="155">
        <f>C18/C106</f>
        <v>48.49482946057514</v>
      </c>
      <c r="D103" s="155">
        <f>D18/D106</f>
        <v>42.285787716382188</v>
      </c>
      <c r="E103" s="155">
        <f>E18/E106</f>
        <v>42.993926709175227</v>
      </c>
      <c r="F103" s="155">
        <f>F18/F106</f>
        <v>44.83290449275674</v>
      </c>
      <c r="G103" s="155">
        <f>G18/G106</f>
        <v>46.172310043071491</v>
      </c>
      <c r="H103" s="32"/>
      <c r="I103" s="115"/>
      <c r="J103" s="36"/>
      <c r="K103" s="36"/>
      <c r="L103" s="36"/>
      <c r="M103" s="36"/>
      <c r="N103" s="116"/>
    </row>
    <row r="104" spans="1:14" x14ac:dyDescent="0.2">
      <c r="A104" s="128" t="s">
        <v>160</v>
      </c>
      <c r="B104" s="163" t="e">
        <f>B103*#REF!</f>
        <v>#REF!</v>
      </c>
      <c r="C104" s="163">
        <f>C103*$B2</f>
        <v>1.9397931784230056</v>
      </c>
      <c r="D104" s="163">
        <f>D103*$B2</f>
        <v>1.6914315086552876</v>
      </c>
      <c r="E104" s="163">
        <f>E103*$B2</f>
        <v>1.7197570683670091</v>
      </c>
      <c r="F104" s="163">
        <f>F103*$B2</f>
        <v>1.7933161797102697</v>
      </c>
      <c r="G104" s="163">
        <f>G103*$B2</f>
        <v>1.8468924017228596</v>
      </c>
      <c r="H104" s="32"/>
      <c r="I104" s="115"/>
      <c r="J104" s="36"/>
      <c r="K104" s="36"/>
      <c r="L104" s="36"/>
      <c r="M104" s="36"/>
      <c r="N104" s="116"/>
    </row>
    <row r="105" spans="1:14" x14ac:dyDescent="0.2">
      <c r="A105" s="128" t="s">
        <v>161</v>
      </c>
      <c r="B105" s="163" t="e">
        <f t="shared" ref="B105:G105" si="18">B104+B103</f>
        <v>#REF!</v>
      </c>
      <c r="C105" s="155">
        <f t="shared" si="18"/>
        <v>50.434622638998142</v>
      </c>
      <c r="D105" s="155">
        <f t="shared" si="18"/>
        <v>43.977219225037473</v>
      </c>
      <c r="E105" s="155">
        <f t="shared" si="18"/>
        <v>44.713683777542236</v>
      </c>
      <c r="F105" s="155">
        <f t="shared" si="18"/>
        <v>46.626220672467007</v>
      </c>
      <c r="G105" s="155">
        <f t="shared" si="18"/>
        <v>48.019202444794352</v>
      </c>
      <c r="H105" s="32"/>
      <c r="I105" s="115"/>
      <c r="J105" s="36"/>
      <c r="K105" s="36"/>
      <c r="L105" s="36"/>
      <c r="M105" s="36"/>
      <c r="N105" s="116"/>
    </row>
    <row r="106" spans="1:14" x14ac:dyDescent="0.2">
      <c r="A106" s="164" t="s">
        <v>141</v>
      </c>
      <c r="B106" s="165">
        <f>B30+B25</f>
        <v>28.965517241379313</v>
      </c>
      <c r="C106" s="166">
        <f>+C17</f>
        <v>1400</v>
      </c>
      <c r="D106" s="166">
        <f>+D17</f>
        <v>4200</v>
      </c>
      <c r="E106" s="166">
        <f>+E17</f>
        <v>5600</v>
      </c>
      <c r="F106" s="166">
        <f>+F17</f>
        <v>5600</v>
      </c>
      <c r="G106" s="166">
        <f>+G17</f>
        <v>5600</v>
      </c>
      <c r="H106" s="32"/>
      <c r="I106" s="115"/>
      <c r="J106" s="36"/>
      <c r="K106" s="36"/>
      <c r="L106" s="36"/>
      <c r="M106" s="36"/>
      <c r="N106" s="116"/>
    </row>
    <row r="107" spans="1:14" x14ac:dyDescent="0.2">
      <c r="A107" s="111" t="s">
        <v>162</v>
      </c>
      <c r="B107" s="167" t="e">
        <f t="shared" ref="B107:G107" si="19">B105*B106</f>
        <v>#REF!</v>
      </c>
      <c r="C107" s="168">
        <f t="shared" si="19"/>
        <v>70608.471694597392</v>
      </c>
      <c r="D107" s="168">
        <f t="shared" si="19"/>
        <v>184704.3207451574</v>
      </c>
      <c r="E107" s="168">
        <f t="shared" si="19"/>
        <v>250396.62915423652</v>
      </c>
      <c r="F107" s="168">
        <f t="shared" si="19"/>
        <v>261106.83576581522</v>
      </c>
      <c r="G107" s="168">
        <f t="shared" si="19"/>
        <v>268907.53369084839</v>
      </c>
      <c r="H107" s="32"/>
      <c r="I107" s="115"/>
      <c r="J107" s="36"/>
      <c r="K107" s="36"/>
      <c r="L107" s="36"/>
      <c r="M107" s="36"/>
      <c r="N107" s="116"/>
    </row>
    <row r="108" spans="1:14" x14ac:dyDescent="0.2">
      <c r="A108" s="111"/>
      <c r="B108" s="167"/>
      <c r="C108" s="168"/>
      <c r="D108" s="168"/>
      <c r="E108" s="168"/>
      <c r="F108" s="168"/>
      <c r="G108" s="169"/>
      <c r="H108" s="32"/>
      <c r="I108" s="115"/>
      <c r="J108" s="36"/>
      <c r="K108" s="36"/>
      <c r="L108" s="36"/>
      <c r="M108" s="36"/>
      <c r="N108" s="116"/>
    </row>
    <row r="109" spans="1:14" x14ac:dyDescent="0.2">
      <c r="A109" s="154" t="s">
        <v>163</v>
      </c>
      <c r="B109" s="104"/>
      <c r="C109" s="105"/>
      <c r="D109" s="105"/>
      <c r="E109" s="105"/>
      <c r="F109" s="105"/>
      <c r="G109" s="106"/>
      <c r="H109" s="32"/>
      <c r="I109" s="115"/>
      <c r="J109" s="36"/>
      <c r="K109" s="36"/>
      <c r="L109" s="36"/>
      <c r="M109" s="36"/>
      <c r="N109" s="116"/>
    </row>
    <row r="110" spans="1:14" x14ac:dyDescent="0.2">
      <c r="A110" s="128" t="s">
        <v>159</v>
      </c>
      <c r="B110" s="163">
        <v>0</v>
      </c>
      <c r="C110" s="155" t="e">
        <f>C39/C113</f>
        <v>#DIV/0!</v>
      </c>
      <c r="D110" s="155" t="e">
        <f>D39/D113</f>
        <v>#DIV/0!</v>
      </c>
      <c r="E110" s="155" t="e">
        <f>E39/E113</f>
        <v>#DIV/0!</v>
      </c>
      <c r="F110" s="155">
        <f>F39/F113</f>
        <v>46.014127593541694</v>
      </c>
      <c r="G110" s="155">
        <f>G39/G113</f>
        <v>46.564590743164636</v>
      </c>
      <c r="H110" s="32"/>
      <c r="I110" s="115"/>
      <c r="J110" s="36"/>
      <c r="K110" s="36"/>
      <c r="L110" s="36"/>
      <c r="M110" s="36"/>
      <c r="N110" s="116"/>
    </row>
    <row r="111" spans="1:14" x14ac:dyDescent="0.2">
      <c r="A111" s="128" t="s">
        <v>160</v>
      </c>
      <c r="B111" s="163">
        <f t="shared" ref="B111:G111" si="20">B110*$B2</f>
        <v>0</v>
      </c>
      <c r="C111" s="163" t="e">
        <f t="shared" si="20"/>
        <v>#DIV/0!</v>
      </c>
      <c r="D111" s="163" t="e">
        <f t="shared" si="20"/>
        <v>#DIV/0!</v>
      </c>
      <c r="E111" s="163" t="e">
        <f t="shared" si="20"/>
        <v>#DIV/0!</v>
      </c>
      <c r="F111" s="163">
        <f t="shared" si="20"/>
        <v>1.8405651037416677</v>
      </c>
      <c r="G111" s="163">
        <f t="shared" si="20"/>
        <v>1.8625836297265854</v>
      </c>
      <c r="H111" s="32"/>
      <c r="I111" s="115"/>
      <c r="J111" s="36"/>
      <c r="K111" s="36"/>
      <c r="L111" s="36"/>
      <c r="M111" s="36"/>
      <c r="N111" s="116"/>
    </row>
    <row r="112" spans="1:14" x14ac:dyDescent="0.2">
      <c r="A112" s="128" t="s">
        <v>161</v>
      </c>
      <c r="B112" s="163">
        <f t="shared" ref="B112:G112" si="21">B111+B110</f>
        <v>0</v>
      </c>
      <c r="C112" s="155" t="e">
        <f t="shared" si="21"/>
        <v>#DIV/0!</v>
      </c>
      <c r="D112" s="155" t="e">
        <f t="shared" si="21"/>
        <v>#DIV/0!</v>
      </c>
      <c r="E112" s="155" t="e">
        <f t="shared" si="21"/>
        <v>#DIV/0!</v>
      </c>
      <c r="F112" s="155">
        <f t="shared" si="21"/>
        <v>47.854692697283362</v>
      </c>
      <c r="G112" s="155">
        <f t="shared" si="21"/>
        <v>48.427174372891223</v>
      </c>
      <c r="H112" s="32"/>
      <c r="I112" s="115"/>
      <c r="J112" s="36"/>
      <c r="K112" s="36"/>
      <c r="L112" s="36"/>
      <c r="M112" s="36"/>
      <c r="N112" s="116"/>
    </row>
    <row r="113" spans="1:14" x14ac:dyDescent="0.2">
      <c r="A113" s="164" t="s">
        <v>141</v>
      </c>
      <c r="B113" s="165" t="e">
        <f t="shared" ref="B113:G113" si="22">B36+B31</f>
        <v>#REF!</v>
      </c>
      <c r="C113" s="166">
        <f t="shared" si="22"/>
        <v>0</v>
      </c>
      <c r="D113" s="166">
        <f t="shared" si="22"/>
        <v>0</v>
      </c>
      <c r="E113" s="166">
        <f t="shared" si="22"/>
        <v>0</v>
      </c>
      <c r="F113" s="166">
        <f t="shared" si="22"/>
        <v>1100</v>
      </c>
      <c r="G113" s="166">
        <f t="shared" si="22"/>
        <v>1100</v>
      </c>
      <c r="H113" s="32"/>
      <c r="I113" s="115"/>
      <c r="J113" s="36"/>
      <c r="K113" s="36"/>
      <c r="L113" s="36"/>
      <c r="M113" s="36"/>
      <c r="N113" s="116"/>
    </row>
    <row r="114" spans="1:14" x14ac:dyDescent="0.2">
      <c r="A114" s="111" t="s">
        <v>164</v>
      </c>
      <c r="B114" s="167" t="e">
        <f t="shared" ref="B114:G114" si="23">B112*B113</f>
        <v>#REF!</v>
      </c>
      <c r="C114" s="168" t="e">
        <f t="shared" si="23"/>
        <v>#DIV/0!</v>
      </c>
      <c r="D114" s="168" t="e">
        <f t="shared" si="23"/>
        <v>#DIV/0!</v>
      </c>
      <c r="E114" s="168" t="e">
        <f t="shared" si="23"/>
        <v>#DIV/0!</v>
      </c>
      <c r="F114" s="168">
        <f t="shared" si="23"/>
        <v>52640.1619670117</v>
      </c>
      <c r="G114" s="168">
        <f t="shared" si="23"/>
        <v>53269.891810180343</v>
      </c>
      <c r="H114" s="32"/>
      <c r="I114" s="115"/>
      <c r="J114" s="36"/>
      <c r="K114" s="36"/>
      <c r="L114" s="36"/>
      <c r="M114" s="36"/>
      <c r="N114" s="116"/>
    </row>
    <row r="115" spans="1:14" s="88" customFormat="1" x14ac:dyDescent="0.2">
      <c r="A115" s="170"/>
      <c r="B115" s="135"/>
      <c r="C115" s="136"/>
      <c r="D115" s="136"/>
      <c r="E115" s="136"/>
      <c r="F115" s="136"/>
      <c r="G115" s="137"/>
      <c r="H115" s="171"/>
      <c r="I115" s="172"/>
      <c r="J115" s="173"/>
      <c r="K115" s="173"/>
      <c r="L115" s="173"/>
      <c r="M115" s="173"/>
      <c r="N115" s="174"/>
    </row>
    <row r="116" spans="1:14" s="88" customFormat="1" x14ac:dyDescent="0.2">
      <c r="A116" s="154" t="s">
        <v>165</v>
      </c>
      <c r="B116" s="135"/>
      <c r="C116" s="136"/>
      <c r="D116" s="142"/>
      <c r="E116" s="142"/>
      <c r="F116" s="142"/>
      <c r="G116" s="143"/>
      <c r="H116" s="171"/>
      <c r="I116" s="172"/>
      <c r="J116" s="173"/>
      <c r="K116" s="173"/>
      <c r="L116" s="173"/>
      <c r="M116" s="173"/>
      <c r="N116" s="174"/>
    </row>
    <row r="117" spans="1:14" s="88" customFormat="1" x14ac:dyDescent="0.2">
      <c r="A117" s="128" t="s">
        <v>159</v>
      </c>
      <c r="B117" s="175"/>
      <c r="C117" s="136"/>
      <c r="D117" s="136">
        <f>IF(D120&lt;&gt;0,D59/D120,0)</f>
        <v>0</v>
      </c>
      <c r="E117" s="136">
        <v>0</v>
      </c>
      <c r="F117" s="136" t="e">
        <f>F59/F120</f>
        <v>#DIV/0!</v>
      </c>
      <c r="G117" s="137" t="e">
        <f>G59/G120</f>
        <v>#DIV/0!</v>
      </c>
      <c r="H117" s="171"/>
      <c r="I117" s="172"/>
      <c r="J117" s="173"/>
      <c r="K117" s="173"/>
      <c r="L117" s="173"/>
      <c r="M117" s="173"/>
      <c r="N117" s="174"/>
    </row>
    <row r="118" spans="1:14" s="88" customFormat="1" x14ac:dyDescent="0.2">
      <c r="A118" s="128" t="s">
        <v>166</v>
      </c>
      <c r="B118" s="135"/>
      <c r="C118" s="136"/>
      <c r="D118" s="136">
        <f>D117*$B2</f>
        <v>0</v>
      </c>
      <c r="E118" s="136">
        <f>E117*$B2</f>
        <v>0</v>
      </c>
      <c r="F118" s="136" t="e">
        <f>F117*$B2</f>
        <v>#DIV/0!</v>
      </c>
      <c r="G118" s="136" t="e">
        <f>G117*$B2</f>
        <v>#DIV/0!</v>
      </c>
      <c r="H118" s="171"/>
      <c r="I118" s="172"/>
      <c r="J118" s="173"/>
      <c r="K118" s="173"/>
      <c r="L118" s="173"/>
      <c r="M118" s="173"/>
      <c r="N118" s="174"/>
    </row>
    <row r="119" spans="1:14" s="88" customFormat="1" x14ac:dyDescent="0.2">
      <c r="A119" s="128" t="s">
        <v>161</v>
      </c>
      <c r="B119" s="135"/>
      <c r="C119" s="136"/>
      <c r="D119" s="136">
        <f>D118+D117</f>
        <v>0</v>
      </c>
      <c r="E119" s="136">
        <f>E118+E117</f>
        <v>0</v>
      </c>
      <c r="F119" s="136" t="e">
        <f>F118+F117</f>
        <v>#DIV/0!</v>
      </c>
      <c r="G119" s="137" t="e">
        <f>G118+G117</f>
        <v>#DIV/0!</v>
      </c>
      <c r="H119" s="171"/>
      <c r="I119" s="172"/>
      <c r="J119" s="173"/>
      <c r="K119" s="173"/>
      <c r="L119" s="173"/>
      <c r="M119" s="173"/>
      <c r="N119" s="174"/>
    </row>
    <row r="120" spans="1:14" s="88" customFormat="1" x14ac:dyDescent="0.2">
      <c r="A120" s="164" t="s">
        <v>141</v>
      </c>
      <c r="B120" s="135"/>
      <c r="C120" s="136"/>
      <c r="D120" s="166"/>
      <c r="E120" s="176">
        <f>'F1'!E32+'F1'!E11</f>
        <v>0</v>
      </c>
      <c r="F120" s="166">
        <f>'F1'!F32+'F1'!F11</f>
        <v>0</v>
      </c>
      <c r="G120" s="166">
        <f>'F1'!G32+'F1'!G11</f>
        <v>0</v>
      </c>
      <c r="H120" s="171"/>
      <c r="I120" s="172"/>
      <c r="J120" s="173"/>
      <c r="K120" s="173"/>
      <c r="L120" s="173"/>
      <c r="M120" s="173"/>
      <c r="N120" s="174"/>
    </row>
    <row r="121" spans="1:14" s="88" customFormat="1" x14ac:dyDescent="0.2">
      <c r="A121" s="164"/>
      <c r="B121" s="135"/>
      <c r="C121" s="136"/>
      <c r="D121" s="166"/>
      <c r="E121" s="166"/>
      <c r="F121" s="166"/>
      <c r="G121" s="177"/>
      <c r="H121" s="171"/>
      <c r="I121" s="172"/>
      <c r="J121" s="173"/>
      <c r="K121" s="173"/>
      <c r="L121" s="173"/>
      <c r="M121" s="173"/>
      <c r="N121" s="174"/>
    </row>
    <row r="122" spans="1:14" s="88" customFormat="1" x14ac:dyDescent="0.2">
      <c r="A122" s="154" t="s">
        <v>167</v>
      </c>
      <c r="B122" s="135"/>
      <c r="C122" s="136"/>
      <c r="D122" s="166"/>
      <c r="E122" s="166"/>
      <c r="F122" s="166"/>
      <c r="G122" s="177"/>
      <c r="H122" s="171"/>
      <c r="I122" s="172"/>
      <c r="J122" s="173"/>
      <c r="K122" s="173"/>
      <c r="L122" s="173"/>
      <c r="M122" s="173"/>
      <c r="N122" s="174"/>
    </row>
    <row r="123" spans="1:14" s="88" customFormat="1" x14ac:dyDescent="0.2">
      <c r="A123" s="128" t="s">
        <v>159</v>
      </c>
      <c r="B123" s="175"/>
      <c r="C123" s="136"/>
      <c r="D123" s="136"/>
      <c r="E123" s="136">
        <v>0</v>
      </c>
      <c r="F123" s="136">
        <f>F79/F126</f>
        <v>46.906839265961274</v>
      </c>
      <c r="G123" s="136">
        <f>G79/G126</f>
        <v>47.603403812365855</v>
      </c>
      <c r="H123" s="171"/>
      <c r="I123" s="172"/>
      <c r="J123" s="173"/>
      <c r="K123" s="173"/>
      <c r="L123" s="173"/>
      <c r="M123" s="173"/>
      <c r="N123" s="174"/>
    </row>
    <row r="124" spans="1:14" s="88" customFormat="1" x14ac:dyDescent="0.2">
      <c r="A124" s="128" t="s">
        <v>166</v>
      </c>
      <c r="B124" s="135"/>
      <c r="C124" s="136"/>
      <c r="D124" s="136">
        <f>D123*$B2</f>
        <v>0</v>
      </c>
      <c r="E124" s="136">
        <v>0</v>
      </c>
      <c r="F124" s="136">
        <f>F123*$B2</f>
        <v>1.876273570638451</v>
      </c>
      <c r="G124" s="136">
        <f>G123*$B2</f>
        <v>1.9041361524946343</v>
      </c>
      <c r="H124" s="171"/>
      <c r="I124" s="172"/>
      <c r="J124" s="173"/>
      <c r="K124" s="173"/>
      <c r="L124" s="173"/>
      <c r="M124" s="173"/>
      <c r="N124" s="174"/>
    </row>
    <row r="125" spans="1:14" s="88" customFormat="1" x14ac:dyDescent="0.2">
      <c r="A125" s="128" t="s">
        <v>161</v>
      </c>
      <c r="B125" s="135"/>
      <c r="C125" s="136"/>
      <c r="D125" s="136">
        <f>D124+D123</f>
        <v>0</v>
      </c>
      <c r="E125" s="136">
        <f>E124+E123</f>
        <v>0</v>
      </c>
      <c r="F125" s="136">
        <f>F124+F123</f>
        <v>48.783112836599727</v>
      </c>
      <c r="G125" s="136">
        <f>G124+G123</f>
        <v>49.507539964860491</v>
      </c>
      <c r="H125" s="171"/>
      <c r="I125" s="172"/>
      <c r="J125" s="173"/>
      <c r="K125" s="173"/>
      <c r="L125" s="173"/>
      <c r="M125" s="173"/>
      <c r="N125" s="174"/>
    </row>
    <row r="126" spans="1:14" s="88" customFormat="1" x14ac:dyDescent="0.2">
      <c r="A126" s="164" t="s">
        <v>141</v>
      </c>
      <c r="B126" s="135"/>
      <c r="C126" s="136"/>
      <c r="D126" s="166"/>
      <c r="E126" s="176">
        <f>'F1'!E36+'F1'!E15</f>
        <v>0</v>
      </c>
      <c r="F126" s="166">
        <f>'F1'!F36+'F1'!F15</f>
        <v>3930</v>
      </c>
      <c r="G126" s="166">
        <f>'F1'!G36+'F1'!G15</f>
        <v>3930</v>
      </c>
      <c r="H126" s="171"/>
      <c r="I126" s="172"/>
      <c r="J126" s="173"/>
      <c r="K126" s="173"/>
      <c r="L126" s="173"/>
      <c r="M126" s="173"/>
      <c r="N126" s="174"/>
    </row>
    <row r="127" spans="1:14" s="88" customFormat="1" x14ac:dyDescent="0.2">
      <c r="A127" s="164"/>
      <c r="B127" s="135"/>
      <c r="C127" s="136"/>
      <c r="D127" s="166"/>
      <c r="E127" s="176"/>
      <c r="F127" s="166"/>
      <c r="G127" s="178"/>
      <c r="H127" s="171"/>
      <c r="I127" s="172"/>
      <c r="J127" s="173"/>
      <c r="K127" s="173"/>
      <c r="L127" s="173"/>
      <c r="M127" s="173"/>
      <c r="N127" s="174"/>
    </row>
    <row r="128" spans="1:14" s="88" customFormat="1" x14ac:dyDescent="0.2">
      <c r="A128" s="154" t="s">
        <v>168</v>
      </c>
      <c r="B128" s="135"/>
      <c r="C128" s="136"/>
      <c r="D128" s="166"/>
      <c r="E128" s="166"/>
      <c r="F128" s="166"/>
      <c r="G128" s="177"/>
      <c r="H128" s="171"/>
      <c r="I128" s="172"/>
      <c r="J128" s="173"/>
      <c r="K128" s="173"/>
      <c r="L128" s="173"/>
      <c r="M128" s="173"/>
      <c r="N128" s="174"/>
    </row>
    <row r="129" spans="1:14" s="88" customFormat="1" x14ac:dyDescent="0.2">
      <c r="A129" s="128" t="s">
        <v>159</v>
      </c>
      <c r="B129" s="175"/>
      <c r="C129" s="136"/>
      <c r="D129" s="136"/>
      <c r="E129" s="136">
        <v>0</v>
      </c>
      <c r="F129" s="136">
        <v>0</v>
      </c>
      <c r="G129" s="136">
        <v>0</v>
      </c>
      <c r="H129" s="171"/>
      <c r="I129" s="172"/>
      <c r="J129" s="173"/>
      <c r="K129" s="173"/>
      <c r="L129" s="173"/>
      <c r="M129" s="173"/>
      <c r="N129" s="174"/>
    </row>
    <row r="130" spans="1:14" s="88" customFormat="1" x14ac:dyDescent="0.2">
      <c r="A130" s="128" t="s">
        <v>166</v>
      </c>
      <c r="B130" s="135"/>
      <c r="C130" s="136"/>
      <c r="D130" s="136">
        <f>D129*$B7</f>
        <v>0</v>
      </c>
      <c r="E130" s="136">
        <f>E129*$B2</f>
        <v>0</v>
      </c>
      <c r="F130" s="136">
        <f>F129*$B2</f>
        <v>0</v>
      </c>
      <c r="G130" s="136">
        <f>G129*$B2</f>
        <v>0</v>
      </c>
      <c r="H130" s="171"/>
      <c r="I130" s="172"/>
      <c r="J130" s="173"/>
      <c r="K130" s="173"/>
      <c r="L130" s="173"/>
      <c r="M130" s="173"/>
      <c r="N130" s="174"/>
    </row>
    <row r="131" spans="1:14" s="88" customFormat="1" x14ac:dyDescent="0.2">
      <c r="A131" s="128" t="s">
        <v>161</v>
      </c>
      <c r="B131" s="135"/>
      <c r="C131" s="136"/>
      <c r="D131" s="136">
        <f>D130+D129</f>
        <v>0</v>
      </c>
      <c r="E131" s="136">
        <f>E130+E129</f>
        <v>0</v>
      </c>
      <c r="F131" s="136">
        <f>F130+F129</f>
        <v>0</v>
      </c>
      <c r="G131" s="136">
        <f>G130+G129</f>
        <v>0</v>
      </c>
      <c r="H131" s="171"/>
      <c r="I131" s="172"/>
      <c r="J131" s="173"/>
      <c r="K131" s="173"/>
      <c r="L131" s="173"/>
      <c r="M131" s="173"/>
      <c r="N131" s="174"/>
    </row>
    <row r="132" spans="1:14" s="88" customFormat="1" x14ac:dyDescent="0.2">
      <c r="A132" s="164" t="s">
        <v>141</v>
      </c>
      <c r="B132" s="135"/>
      <c r="C132" s="136"/>
      <c r="D132" s="166"/>
      <c r="E132" s="176">
        <f>'F1'!E37+'F1'!E16</f>
        <v>0</v>
      </c>
      <c r="F132" s="176">
        <f>'F1'!F37+'F1'!F16</f>
        <v>0</v>
      </c>
      <c r="G132" s="176">
        <f>'F1'!G37+'F1'!G16</f>
        <v>0</v>
      </c>
      <c r="H132" s="171"/>
      <c r="I132" s="172"/>
      <c r="J132" s="173"/>
      <c r="K132" s="173"/>
      <c r="L132" s="173"/>
      <c r="M132" s="173"/>
      <c r="N132" s="174"/>
    </row>
    <row r="133" spans="1:14" s="88" customFormat="1" x14ac:dyDescent="0.2">
      <c r="A133" s="164"/>
      <c r="B133" s="135"/>
      <c r="C133" s="136"/>
      <c r="D133" s="166"/>
      <c r="E133" s="166"/>
      <c r="F133" s="166"/>
      <c r="G133" s="177"/>
      <c r="H133" s="171"/>
      <c r="I133" s="172"/>
      <c r="J133" s="173"/>
      <c r="K133" s="173"/>
      <c r="L133" s="173"/>
      <c r="M133" s="173"/>
      <c r="N133" s="174"/>
    </row>
    <row r="134" spans="1:14" s="88" customFormat="1" x14ac:dyDescent="0.2">
      <c r="A134" s="111" t="s">
        <v>169</v>
      </c>
      <c r="B134" s="167"/>
      <c r="C134" s="168"/>
      <c r="D134" s="179">
        <f>D119*D120+D125*D126</f>
        <v>0</v>
      </c>
      <c r="E134" s="179">
        <f>E119*E120+E125*E126+E131*E132</f>
        <v>0</v>
      </c>
      <c r="F134" s="179" t="e">
        <f>F119*F120+F125*F126+F131*F132</f>
        <v>#DIV/0!</v>
      </c>
      <c r="G134" s="179" t="e">
        <f>G119*G120+G125*G126+G131*G132</f>
        <v>#DIV/0!</v>
      </c>
      <c r="H134" s="171"/>
      <c r="I134" s="172"/>
      <c r="J134" s="173"/>
      <c r="K134" s="173"/>
      <c r="L134" s="173"/>
      <c r="M134" s="173"/>
      <c r="N134" s="174"/>
    </row>
    <row r="135" spans="1:14" ht="10.5" customHeight="1" x14ac:dyDescent="0.2">
      <c r="A135" s="154"/>
      <c r="B135" s="104"/>
      <c r="C135" s="155"/>
      <c r="D135" s="155"/>
      <c r="E135" s="155"/>
      <c r="F135" s="155"/>
      <c r="G135" s="156"/>
      <c r="H135" s="32"/>
      <c r="I135" s="115"/>
      <c r="J135" s="36"/>
      <c r="K135" s="36"/>
      <c r="L135" s="36"/>
      <c r="M135" s="36"/>
      <c r="N135" s="116"/>
    </row>
    <row r="136" spans="1:14" x14ac:dyDescent="0.2">
      <c r="A136" s="154" t="s">
        <v>170</v>
      </c>
      <c r="B136" s="163" t="e">
        <f>B134+B114</f>
        <v>#REF!</v>
      </c>
      <c r="C136" s="155" t="e">
        <f>C134+C114+C107</f>
        <v>#DIV/0!</v>
      </c>
      <c r="D136" s="155" t="e">
        <f>D134+D114+D107</f>
        <v>#DIV/0!</v>
      </c>
      <c r="E136" s="155" t="e">
        <f>E134+E114+E107</f>
        <v>#DIV/0!</v>
      </c>
      <c r="F136" s="155" t="e">
        <f>F134+F114+F107</f>
        <v>#DIV/0!</v>
      </c>
      <c r="G136" s="155" t="e">
        <f>G134+G114+G107</f>
        <v>#DIV/0!</v>
      </c>
      <c r="H136" s="32"/>
      <c r="I136" s="115"/>
      <c r="J136" s="36"/>
      <c r="K136" s="36"/>
      <c r="L136" s="36"/>
      <c r="M136" s="36"/>
      <c r="N136" s="116"/>
    </row>
    <row r="137" spans="1:14" x14ac:dyDescent="0.2">
      <c r="A137" s="180" t="s">
        <v>171</v>
      </c>
      <c r="B137" s="167" t="e">
        <f>B136-B59-B39-B79</f>
        <v>#REF!</v>
      </c>
      <c r="C137" s="168" t="e">
        <f>C136-C59-C39-C79-C18</f>
        <v>#DIV/0!</v>
      </c>
      <c r="D137" s="168" t="e">
        <f>D136-D59-D39-D79-D18</f>
        <v>#DIV/0!</v>
      </c>
      <c r="E137" s="168" t="e">
        <f>E136-E59-E39-E79-E18-E99</f>
        <v>#DIV/0!</v>
      </c>
      <c r="F137" s="168" t="e">
        <f>F136-F59-F39-F79-F18-F99</f>
        <v>#DIV/0!</v>
      </c>
      <c r="G137" s="168" t="e">
        <f>G136-G59-G39-G79-G18-G99</f>
        <v>#DIV/0!</v>
      </c>
      <c r="H137" s="32"/>
      <c r="I137" s="115"/>
      <c r="J137" s="36"/>
      <c r="K137" s="36"/>
      <c r="L137" s="36"/>
      <c r="M137" s="36"/>
      <c r="N137" s="116"/>
    </row>
    <row r="138" spans="1:14" x14ac:dyDescent="0.2">
      <c r="A138" s="181"/>
      <c r="B138" s="104"/>
      <c r="C138" s="105"/>
      <c r="D138" s="105"/>
      <c r="E138" s="105"/>
      <c r="F138" s="105"/>
      <c r="G138" s="106"/>
      <c r="H138" s="32"/>
      <c r="I138" s="115"/>
      <c r="J138" s="36"/>
      <c r="K138" s="36"/>
      <c r="L138" s="36"/>
      <c r="M138" s="36"/>
      <c r="N138" s="116"/>
    </row>
    <row r="139" spans="1:14" x14ac:dyDescent="0.2">
      <c r="A139" s="164"/>
      <c r="B139" s="104"/>
      <c r="C139" s="155"/>
      <c r="D139" s="155"/>
      <c r="E139" s="155"/>
      <c r="F139" s="155"/>
      <c r="G139" s="156"/>
      <c r="H139" s="32"/>
      <c r="I139" s="115"/>
      <c r="J139" s="36"/>
      <c r="K139" s="36"/>
      <c r="L139" s="36"/>
      <c r="M139" s="36"/>
      <c r="N139" s="116"/>
    </row>
    <row r="140" spans="1:14" x14ac:dyDescent="0.2">
      <c r="A140" s="134" t="s">
        <v>172</v>
      </c>
      <c r="B140" s="182"/>
      <c r="C140" s="183"/>
      <c r="D140" s="183"/>
      <c r="E140" s="183"/>
      <c r="F140" s="183"/>
      <c r="G140" s="184"/>
      <c r="H140" s="32"/>
      <c r="I140" s="115"/>
      <c r="J140" s="36"/>
      <c r="K140" s="36"/>
      <c r="L140" s="36"/>
      <c r="M140" s="36"/>
      <c r="N140" s="116"/>
    </row>
    <row r="141" spans="1:14" x14ac:dyDescent="0.2">
      <c r="A141" s="170" t="s">
        <v>173</v>
      </c>
      <c r="B141" s="185">
        <f>B142+B143+B150</f>
        <v>0</v>
      </c>
      <c r="C141" s="185">
        <f>C142+C143</f>
        <v>0</v>
      </c>
      <c r="D141" s="185">
        <f>D142+D143</f>
        <v>0</v>
      </c>
      <c r="E141" s="185">
        <f>E142+E143</f>
        <v>0</v>
      </c>
      <c r="F141" s="185">
        <f>F142+F143</f>
        <v>0</v>
      </c>
      <c r="G141" s="185">
        <f>G142+G143</f>
        <v>0</v>
      </c>
      <c r="H141" s="32"/>
      <c r="I141" s="115"/>
      <c r="J141" s="36"/>
      <c r="K141" s="36"/>
      <c r="L141" s="36"/>
      <c r="M141" s="36"/>
      <c r="N141" s="186"/>
    </row>
    <row r="142" spans="1:14" x14ac:dyDescent="0.2">
      <c r="A142" s="164" t="s">
        <v>174</v>
      </c>
      <c r="B142" s="182">
        <f>('F1'!B48+'F1'!B49+'F1'!B50)*'F1'!B87</f>
        <v>0</v>
      </c>
      <c r="C142" s="183">
        <v>0</v>
      </c>
      <c r="D142" s="183">
        <v>0</v>
      </c>
      <c r="E142" s="183">
        <v>0</v>
      </c>
      <c r="F142" s="183">
        <v>0</v>
      </c>
      <c r="G142" s="183">
        <v>0</v>
      </c>
      <c r="H142" s="32"/>
      <c r="I142" s="187" t="s">
        <v>175</v>
      </c>
      <c r="J142" s="188">
        <f>$J$3</f>
        <v>0.02</v>
      </c>
      <c r="K142" s="188">
        <f>$J$3</f>
        <v>0.02</v>
      </c>
      <c r="L142" s="188">
        <f>$J$3</f>
        <v>0.02</v>
      </c>
      <c r="M142" s="188">
        <f>$J$3</f>
        <v>0.02</v>
      </c>
      <c r="N142" s="188">
        <f>$J$3</f>
        <v>0.02</v>
      </c>
    </row>
    <row r="143" spans="1:14" x14ac:dyDescent="0.2">
      <c r="A143" s="117" t="s">
        <v>176</v>
      </c>
      <c r="B143" s="182">
        <f>('F1'!B61+'F1'!B62+'F1'!B63)*'F1'!B93</f>
        <v>0</v>
      </c>
      <c r="C143" s="183">
        <v>0</v>
      </c>
      <c r="D143" s="183">
        <v>0</v>
      </c>
      <c r="E143" s="183">
        <v>0</v>
      </c>
      <c r="F143" s="183">
        <v>0</v>
      </c>
      <c r="G143" s="183">
        <v>0</v>
      </c>
      <c r="H143" s="32"/>
      <c r="I143" s="187" t="s">
        <v>177</v>
      </c>
      <c r="J143" s="123">
        <v>1.4999999999999999E-2</v>
      </c>
      <c r="K143" s="123">
        <v>1.4999999999999999E-2</v>
      </c>
      <c r="L143" s="123">
        <v>1.4999999999999999E-2</v>
      </c>
      <c r="M143" s="123">
        <v>1.4999999999999999E-2</v>
      </c>
      <c r="N143" s="123">
        <v>1.4999999999999999E-2</v>
      </c>
    </row>
    <row r="144" spans="1:14" x14ac:dyDescent="0.2">
      <c r="A144" s="170" t="s">
        <v>178</v>
      </c>
      <c r="B144" s="182"/>
      <c r="C144" s="185">
        <f>C145+C146</f>
        <v>2633.1785824675326</v>
      </c>
      <c r="D144" s="185">
        <f>D145+D146</f>
        <v>10743.368616467531</v>
      </c>
      <c r="E144" s="185">
        <f>E145+E146</f>
        <v>10958.235988796881</v>
      </c>
      <c r="F144" s="185">
        <f>F145+F146</f>
        <v>11177.400708572819</v>
      </c>
      <c r="G144" s="185">
        <f>G145+G146</f>
        <v>11400.948722744277</v>
      </c>
      <c r="H144" s="32"/>
      <c r="I144" s="189"/>
      <c r="J144" s="123"/>
      <c r="K144" s="123"/>
      <c r="L144" s="123"/>
      <c r="M144" s="123"/>
      <c r="N144" s="123"/>
    </row>
    <row r="145" spans="1:14" x14ac:dyDescent="0.2">
      <c r="A145" s="117" t="s">
        <v>179</v>
      </c>
      <c r="B145" s="182"/>
      <c r="C145" s="190">
        <f>'F1'!C49*'F1'!C87*J198</f>
        <v>742.4381629870129</v>
      </c>
      <c r="D145" s="190">
        <f>'F1'!D49*'F1'!D87*K198</f>
        <v>3029.1477049870127</v>
      </c>
      <c r="E145" s="190">
        <f>'F1'!E49*'F1'!E87*L198</f>
        <v>3089.7306590867529</v>
      </c>
      <c r="F145" s="190">
        <f>'F1'!F49*'F1'!F87*M198</f>
        <v>3151.5252722684882</v>
      </c>
      <c r="G145" s="190">
        <f>'F1'!G49*'F1'!G87*N198</f>
        <v>3214.5557777138579</v>
      </c>
      <c r="H145" s="32"/>
      <c r="I145" s="189"/>
      <c r="J145" s="123"/>
      <c r="K145" s="123"/>
      <c r="L145" s="123"/>
      <c r="M145" s="123"/>
      <c r="N145" s="123"/>
    </row>
    <row r="146" spans="1:14" x14ac:dyDescent="0.2">
      <c r="A146" s="117" t="s">
        <v>180</v>
      </c>
      <c r="B146" s="182"/>
      <c r="C146" s="190">
        <f>'F1'!C62*'F1'!C93*J198</f>
        <v>1890.7404194805194</v>
      </c>
      <c r="D146" s="190">
        <f>'F1'!D62*'F1'!D93*K198</f>
        <v>7714.2209114805191</v>
      </c>
      <c r="E146" s="190">
        <f>'F1'!E62*'F1'!E93*L198</f>
        <v>7868.5053297101294</v>
      </c>
      <c r="F146" s="190">
        <f>'F1'!F62*'F1'!F93*M198</f>
        <v>8025.8754363043317</v>
      </c>
      <c r="G146" s="190">
        <f>'F1'!G62*'F1'!G93*N198</f>
        <v>8186.3929450304186</v>
      </c>
      <c r="H146" s="32"/>
      <c r="I146" s="189"/>
      <c r="J146" s="123"/>
      <c r="K146" s="123"/>
      <c r="L146" s="123"/>
      <c r="M146" s="123"/>
      <c r="N146" s="123"/>
    </row>
    <row r="147" spans="1:14" x14ac:dyDescent="0.2">
      <c r="A147" s="170" t="s">
        <v>181</v>
      </c>
      <c r="B147" s="182"/>
      <c r="C147" s="185">
        <f>C148+C149</f>
        <v>2255.0304985714283</v>
      </c>
      <c r="D147" s="185">
        <f>D148+D149</f>
        <v>9200.5244341714279</v>
      </c>
      <c r="E147" s="185">
        <f>E148+E149</f>
        <v>9384.5349228548566</v>
      </c>
      <c r="F147" s="185">
        <f>F148+F149</f>
        <v>9572.2256213119545</v>
      </c>
      <c r="G147" s="185">
        <f>G148+G149</f>
        <v>9763.6701337381928</v>
      </c>
      <c r="H147" s="32"/>
      <c r="I147" s="189"/>
      <c r="J147" s="123"/>
      <c r="K147" s="123"/>
      <c r="L147" s="123"/>
      <c r="M147" s="123"/>
      <c r="N147" s="123"/>
    </row>
    <row r="148" spans="1:14" x14ac:dyDescent="0.2">
      <c r="A148" s="117" t="s">
        <v>182</v>
      </c>
      <c r="B148" s="182"/>
      <c r="C148" s="190">
        <f>'F1'!C50*'F1'!C87*J198</f>
        <v>742.4381629870129</v>
      </c>
      <c r="D148" s="190">
        <f>'F1'!D50*'F1'!D87*K198</f>
        <v>3029.1477049870127</v>
      </c>
      <c r="E148" s="190">
        <f>'F1'!E50*'F1'!E87*L198</f>
        <v>3089.7306590867529</v>
      </c>
      <c r="F148" s="190">
        <f>'F1'!F50*'F1'!F87*M198</f>
        <v>3151.5252722684882</v>
      </c>
      <c r="G148" s="190">
        <f>'F1'!G50*'F1'!G87*N198</f>
        <v>3214.5557777138579</v>
      </c>
      <c r="H148" s="32"/>
      <c r="I148" s="189"/>
      <c r="J148" s="123"/>
      <c r="K148" s="123"/>
      <c r="L148" s="123"/>
      <c r="M148" s="123"/>
      <c r="N148" s="123"/>
    </row>
    <row r="149" spans="1:14" ht="13.5" thickBot="1" x14ac:dyDescent="0.25">
      <c r="A149" s="117" t="s">
        <v>183</v>
      </c>
      <c r="B149" s="182"/>
      <c r="C149" s="190">
        <f>'F1'!C63*'F1'!C93*J198</f>
        <v>1512.5923355844157</v>
      </c>
      <c r="D149" s="190">
        <f>'F1'!D63*'F1'!D93*K198</f>
        <v>6171.3767291844151</v>
      </c>
      <c r="E149" s="190">
        <f>'F1'!E63*'F1'!E93*L198</f>
        <v>6294.8042637681037</v>
      </c>
      <c r="F149" s="190">
        <f>'F1'!F63*'F1'!F93*M198</f>
        <v>6420.7003490434654</v>
      </c>
      <c r="G149" s="190">
        <f>'F1'!G63*'F1'!G93*N198</f>
        <v>6549.1143560243354</v>
      </c>
      <c r="H149" s="32"/>
      <c r="I149" s="189"/>
      <c r="J149" s="123"/>
      <c r="K149" s="123"/>
      <c r="L149" s="123"/>
      <c r="M149" s="123"/>
      <c r="N149" s="123"/>
    </row>
    <row r="150" spans="1:14" ht="13.5" thickBot="1" x14ac:dyDescent="0.25">
      <c r="A150" s="191" t="s">
        <v>132</v>
      </c>
      <c r="B150" s="182">
        <f>[3]F1!B132+[3]F1!B133+[3]F1!B134</f>
        <v>0</v>
      </c>
      <c r="C150" s="182">
        <f>('F1'!C164+'F1'!C165+'F1'!C166)*$H150</f>
        <v>0</v>
      </c>
      <c r="D150" s="182">
        <f>('F1'!D164+'F1'!D165+'F1'!D166)*$H150</f>
        <v>0</v>
      </c>
      <c r="E150" s="182">
        <f>('F1'!E164+'F1'!E165+'F1'!E166)*$H150</f>
        <v>0</v>
      </c>
      <c r="F150" s="182">
        <f>('F1'!F164+'F1'!F165+'F1'!F166)*$H150</f>
        <v>0</v>
      </c>
      <c r="G150" s="182">
        <f>('F1'!G164+'F1'!G165+'F1'!G166)*$H150</f>
        <v>0</v>
      </c>
      <c r="H150" s="192"/>
      <c r="I150" s="189"/>
      <c r="J150" s="123"/>
      <c r="K150" s="123"/>
      <c r="L150" s="123"/>
      <c r="M150" s="123"/>
      <c r="N150" s="123"/>
    </row>
    <row r="151" spans="1:14" x14ac:dyDescent="0.2">
      <c r="A151" s="117"/>
      <c r="B151" s="182"/>
      <c r="C151" s="183"/>
      <c r="D151" s="183"/>
      <c r="E151" s="183"/>
      <c r="F151" s="183"/>
      <c r="G151" s="193"/>
      <c r="H151" s="32"/>
      <c r="I151" s="187"/>
      <c r="J151" s="123"/>
      <c r="K151" s="123"/>
      <c r="L151" s="123"/>
      <c r="M151" s="123"/>
      <c r="N151" s="124"/>
    </row>
    <row r="152" spans="1:14" x14ac:dyDescent="0.2">
      <c r="A152" s="170" t="s">
        <v>184</v>
      </c>
      <c r="B152" s="185">
        <f t="shared" ref="B152:G152" si="24">SUM(B153:B161)</f>
        <v>0</v>
      </c>
      <c r="C152" s="185">
        <f t="shared" si="24"/>
        <v>0</v>
      </c>
      <c r="D152" s="185" t="e">
        <f t="shared" si="24"/>
        <v>#REF!</v>
      </c>
      <c r="E152" s="185">
        <f t="shared" si="24"/>
        <v>0</v>
      </c>
      <c r="F152" s="185">
        <f t="shared" si="24"/>
        <v>0</v>
      </c>
      <c r="G152" s="185">
        <f t="shared" si="24"/>
        <v>0</v>
      </c>
      <c r="H152" s="32"/>
      <c r="I152" s="115"/>
      <c r="J152" s="36"/>
      <c r="K152" s="36"/>
      <c r="L152" s="36"/>
      <c r="M152" s="36"/>
      <c r="N152" s="186"/>
    </row>
    <row r="153" spans="1:14" x14ac:dyDescent="0.2">
      <c r="A153" s="164" t="s">
        <v>185</v>
      </c>
      <c r="B153" s="182"/>
      <c r="C153" s="194"/>
      <c r="D153" s="183"/>
      <c r="E153" s="183">
        <v>0</v>
      </c>
      <c r="F153" s="183">
        <f>E153*(1+M$153)</f>
        <v>0</v>
      </c>
      <c r="G153" s="184">
        <f>F153*(1+N$153)</f>
        <v>0</v>
      </c>
      <c r="H153" s="32"/>
      <c r="I153" s="187" t="s">
        <v>186</v>
      </c>
      <c r="J153" s="123">
        <v>0.05</v>
      </c>
      <c r="K153" s="123">
        <v>0.05</v>
      </c>
      <c r="L153" s="123">
        <v>0.05</v>
      </c>
      <c r="M153" s="123">
        <v>0.05</v>
      </c>
      <c r="N153" s="123">
        <v>0.05</v>
      </c>
    </row>
    <row r="154" spans="1:14" x14ac:dyDescent="0.2">
      <c r="A154" s="195" t="s">
        <v>8</v>
      </c>
      <c r="B154" s="182"/>
      <c r="C154" s="183"/>
      <c r="D154" s="196">
        <f>('F1'!D47*'F1'!D87)*K198</f>
        <v>0</v>
      </c>
      <c r="E154" s="196">
        <f>('F1'!E47*'F1'!E87)*L198</f>
        <v>0</v>
      </c>
      <c r="F154" s="196">
        <f>('F1'!F47*'F1'!F87)*M198</f>
        <v>0</v>
      </c>
      <c r="G154" s="196">
        <v>0</v>
      </c>
      <c r="H154" s="32"/>
      <c r="I154" s="187" t="s">
        <v>175</v>
      </c>
      <c r="J154" s="188">
        <f>$J3</f>
        <v>0.02</v>
      </c>
      <c r="K154" s="188">
        <f>$J3</f>
        <v>0.02</v>
      </c>
      <c r="L154" s="188">
        <f>$J3</f>
        <v>0.02</v>
      </c>
      <c r="M154" s="188">
        <f>$J3</f>
        <v>0.02</v>
      </c>
      <c r="N154" s="188">
        <f>$J3</f>
        <v>0.02</v>
      </c>
    </row>
    <row r="155" spans="1:14" x14ac:dyDescent="0.2">
      <c r="A155" s="164" t="s">
        <v>187</v>
      </c>
      <c r="B155" s="182"/>
      <c r="C155" s="183"/>
      <c r="D155" s="183"/>
      <c r="E155" s="183">
        <v>0</v>
      </c>
      <c r="F155" s="183">
        <f>E155*(1+M155)</f>
        <v>0</v>
      </c>
      <c r="G155" s="184">
        <f>F155*(1+N155)</f>
        <v>0</v>
      </c>
      <c r="H155" s="32"/>
      <c r="I155" s="187" t="s">
        <v>177</v>
      </c>
      <c r="J155" s="123">
        <v>1.4999999999999999E-2</v>
      </c>
      <c r="K155" s="123">
        <v>1.4999999999999999E-2</v>
      </c>
      <c r="L155" s="123">
        <v>1.4999999999999999E-2</v>
      </c>
      <c r="M155" s="123">
        <v>1.4999999999999999E-2</v>
      </c>
      <c r="N155" s="123">
        <v>1.4999999999999999E-2</v>
      </c>
    </row>
    <row r="156" spans="1:14" x14ac:dyDescent="0.2">
      <c r="A156" s="117" t="s">
        <v>188</v>
      </c>
      <c r="B156" s="182"/>
      <c r="C156" s="183"/>
      <c r="D156" s="196" t="e">
        <f>[3]F1!D48*[3]F1!D81*K198</f>
        <v>#REF!</v>
      </c>
      <c r="E156" s="196">
        <f>'F1'!E60*'F1'!E93*L198</f>
        <v>0</v>
      </c>
      <c r="F156" s="196">
        <f>'F1'!F60*'F1'!F93*M198</f>
        <v>0</v>
      </c>
      <c r="G156" s="196">
        <v>0</v>
      </c>
      <c r="H156" s="32"/>
      <c r="I156" s="187" t="s">
        <v>177</v>
      </c>
      <c r="J156" s="123">
        <v>1.4999999999999999E-2</v>
      </c>
      <c r="K156" s="123">
        <v>1.4999999999999999E-2</v>
      </c>
      <c r="L156" s="123">
        <v>1.4999999999999999E-2</v>
      </c>
      <c r="M156" s="123">
        <v>1.4999999999999999E-2</v>
      </c>
      <c r="N156" s="123">
        <v>1.4999999999999999E-2</v>
      </c>
    </row>
    <row r="157" spans="1:14" x14ac:dyDescent="0.2">
      <c r="A157" s="164" t="s">
        <v>189</v>
      </c>
      <c r="B157" s="182"/>
      <c r="C157" s="286"/>
      <c r="D157" s="183"/>
      <c r="E157" s="285">
        <v>0</v>
      </c>
      <c r="F157" s="285">
        <v>0</v>
      </c>
      <c r="G157" s="285">
        <v>0</v>
      </c>
      <c r="H157" s="32"/>
      <c r="I157" s="187"/>
      <c r="J157" s="123"/>
      <c r="K157" s="123"/>
      <c r="L157" s="123"/>
      <c r="M157" s="123"/>
      <c r="N157" s="123"/>
    </row>
    <row r="158" spans="1:14" x14ac:dyDescent="0.2">
      <c r="A158" s="164" t="s">
        <v>16</v>
      </c>
      <c r="B158" s="182"/>
      <c r="C158" s="183"/>
      <c r="D158" s="183" t="e">
        <f>[3]F1!D116</f>
        <v>#REF!</v>
      </c>
      <c r="E158" s="183">
        <f>'F1'!E148</f>
        <v>0</v>
      </c>
      <c r="F158" s="183">
        <f>'F1'!F148</f>
        <v>0</v>
      </c>
      <c r="G158" s="184">
        <v>0</v>
      </c>
      <c r="H158" s="32"/>
      <c r="I158" s="187" t="s">
        <v>177</v>
      </c>
      <c r="J158" s="123">
        <v>1.4999999999999999E-2</v>
      </c>
      <c r="K158" s="123">
        <v>1.4999999999999999E-2</v>
      </c>
      <c r="L158" s="123">
        <v>1.4999999999999999E-2</v>
      </c>
      <c r="M158" s="123">
        <v>1.4999999999999999E-2</v>
      </c>
      <c r="N158" s="123">
        <v>1.4999999999999999E-2</v>
      </c>
    </row>
    <row r="159" spans="1:14" x14ac:dyDescent="0.2">
      <c r="A159" s="164" t="s">
        <v>190</v>
      </c>
      <c r="B159" s="182"/>
      <c r="C159" s="286"/>
      <c r="D159" s="197"/>
      <c r="E159" s="285">
        <v>0</v>
      </c>
      <c r="F159" s="285">
        <v>0</v>
      </c>
      <c r="G159" s="285">
        <v>0</v>
      </c>
      <c r="H159" s="32"/>
      <c r="I159" s="187"/>
      <c r="J159" s="123"/>
      <c r="K159" s="123"/>
      <c r="L159" s="123"/>
      <c r="M159" s="123"/>
      <c r="N159" s="123"/>
    </row>
    <row r="160" spans="1:14" ht="13.5" thickBot="1" x14ac:dyDescent="0.25">
      <c r="A160" s="164" t="s">
        <v>191</v>
      </c>
      <c r="B160" s="182"/>
      <c r="C160" s="286"/>
      <c r="D160" s="183"/>
      <c r="E160" s="285">
        <v>0</v>
      </c>
      <c r="F160" s="285">
        <v>0</v>
      </c>
      <c r="G160" s="285">
        <v>0</v>
      </c>
      <c r="H160" s="32"/>
      <c r="I160" s="187"/>
      <c r="J160" s="123"/>
      <c r="K160" s="123"/>
      <c r="L160" s="123"/>
      <c r="M160" s="123"/>
      <c r="N160" s="123"/>
    </row>
    <row r="161" spans="1:14" ht="13.5" thickBot="1" x14ac:dyDescent="0.25">
      <c r="A161" s="195" t="s">
        <v>192</v>
      </c>
      <c r="B161" s="182">
        <f>'F1'!B163</f>
        <v>0</v>
      </c>
      <c r="C161" s="182">
        <f>'F1'!C163</f>
        <v>0</v>
      </c>
      <c r="D161" s="182">
        <f>'F1'!D163</f>
        <v>0</v>
      </c>
      <c r="E161" s="182">
        <f>'F1'!E163*H161</f>
        <v>0</v>
      </c>
      <c r="F161" s="182">
        <f>'F1'!F163*I161</f>
        <v>0</v>
      </c>
      <c r="G161" s="182">
        <f>'F1'!G163*J161</f>
        <v>0</v>
      </c>
      <c r="H161" s="192"/>
      <c r="I161" s="187"/>
      <c r="J161" s="123"/>
      <c r="K161" s="123"/>
      <c r="L161" s="123"/>
      <c r="M161" s="123"/>
      <c r="N161" s="123"/>
    </row>
    <row r="162" spans="1:14" x14ac:dyDescent="0.2">
      <c r="A162" s="164"/>
      <c r="B162" s="182"/>
      <c r="C162" s="183"/>
      <c r="D162" s="183"/>
      <c r="E162" s="183"/>
      <c r="F162" s="183"/>
      <c r="G162" s="184"/>
      <c r="H162" s="32"/>
      <c r="I162" s="187"/>
      <c r="J162" s="123"/>
      <c r="K162" s="123"/>
      <c r="L162" s="123"/>
      <c r="M162" s="123"/>
      <c r="N162" s="123"/>
    </row>
    <row r="163" spans="1:14" x14ac:dyDescent="0.2">
      <c r="A163" s="170" t="s">
        <v>193</v>
      </c>
      <c r="B163" s="185">
        <f t="shared" ref="B163:G163" si="25">SUM(B164:B172)</f>
        <v>0</v>
      </c>
      <c r="C163" s="185">
        <f t="shared" si="25"/>
        <v>0</v>
      </c>
      <c r="D163" s="185" t="e">
        <f t="shared" si="25"/>
        <v>#REF!</v>
      </c>
      <c r="E163" s="185">
        <f t="shared" si="25"/>
        <v>93629.970442666672</v>
      </c>
      <c r="F163" s="185">
        <f t="shared" si="25"/>
        <v>119378.22923520199</v>
      </c>
      <c r="G163" s="185">
        <f t="shared" si="25"/>
        <v>119047.50324107215</v>
      </c>
      <c r="H163" s="32"/>
      <c r="I163" s="187"/>
      <c r="J163" s="123"/>
      <c r="K163" s="123"/>
      <c r="L163" s="123"/>
      <c r="M163" s="123"/>
      <c r="N163" s="123"/>
    </row>
    <row r="164" spans="1:14" x14ac:dyDescent="0.2">
      <c r="A164" s="164" t="s">
        <v>185</v>
      </c>
      <c r="B164" s="182"/>
      <c r="C164" s="183"/>
      <c r="D164" s="183"/>
      <c r="E164" s="183">
        <f>47.75*130</f>
        <v>6207.5</v>
      </c>
      <c r="F164" s="183">
        <f t="shared" ref="F164:G166" si="26">E164*(1+M164)</f>
        <v>6517.875</v>
      </c>
      <c r="G164" s="184">
        <f t="shared" si="26"/>
        <v>6843.7687500000002</v>
      </c>
      <c r="H164" s="32"/>
      <c r="I164" s="198" t="s">
        <v>186</v>
      </c>
      <c r="J164" s="123">
        <f t="shared" ref="J164:N169" si="27">J153</f>
        <v>0.05</v>
      </c>
      <c r="K164" s="123">
        <f t="shared" si="27"/>
        <v>0.05</v>
      </c>
      <c r="L164" s="123">
        <f t="shared" si="27"/>
        <v>0.05</v>
      </c>
      <c r="M164" s="123">
        <f t="shared" si="27"/>
        <v>0.05</v>
      </c>
      <c r="N164" s="123">
        <f t="shared" si="27"/>
        <v>0.05</v>
      </c>
    </row>
    <row r="165" spans="1:14" x14ac:dyDescent="0.2">
      <c r="A165" s="195" t="s">
        <v>8</v>
      </c>
      <c r="B165" s="182"/>
      <c r="C165" s="183"/>
      <c r="D165" s="196">
        <f>('F1'!D51*'F1'!D87)*K198</f>
        <v>0</v>
      </c>
      <c r="E165" s="196">
        <f>('F1'!E51*'F1'!E87)*L198</f>
        <v>0</v>
      </c>
      <c r="F165" s="196">
        <f>('F1'!F51*'F1'!F87)*M198</f>
        <v>2363.6439542013659</v>
      </c>
      <c r="G165" s="196">
        <f>('F1'!G51*'F1'!G87)*N198</f>
        <v>2410.9168332853933</v>
      </c>
      <c r="H165" s="32"/>
      <c r="I165" s="187" t="s">
        <v>175</v>
      </c>
      <c r="J165" s="123">
        <f t="shared" si="27"/>
        <v>0.02</v>
      </c>
      <c r="K165" s="123">
        <f t="shared" si="27"/>
        <v>0.02</v>
      </c>
      <c r="L165" s="123">
        <f t="shared" si="27"/>
        <v>0.02</v>
      </c>
      <c r="M165" s="123">
        <f t="shared" si="27"/>
        <v>0.02</v>
      </c>
      <c r="N165" s="123">
        <f t="shared" si="27"/>
        <v>0.02</v>
      </c>
    </row>
    <row r="166" spans="1:14" x14ac:dyDescent="0.2">
      <c r="A166" s="164" t="s">
        <v>187</v>
      </c>
      <c r="B166" s="182"/>
      <c r="C166" s="183"/>
      <c r="D166" s="183"/>
      <c r="E166" s="183">
        <v>1015</v>
      </c>
      <c r="F166" s="183">
        <f t="shared" si="26"/>
        <v>1030.2249999999999</v>
      </c>
      <c r="G166" s="184">
        <f t="shared" si="26"/>
        <v>1045.6783749999997</v>
      </c>
      <c r="H166" s="32"/>
      <c r="I166" s="187" t="s">
        <v>177</v>
      </c>
      <c r="J166" s="123">
        <f t="shared" si="27"/>
        <v>1.4999999999999999E-2</v>
      </c>
      <c r="K166" s="123">
        <f t="shared" si="27"/>
        <v>1.4999999999999999E-2</v>
      </c>
      <c r="L166" s="123">
        <f t="shared" si="27"/>
        <v>1.4999999999999999E-2</v>
      </c>
      <c r="M166" s="123">
        <f t="shared" si="27"/>
        <v>1.4999999999999999E-2</v>
      </c>
      <c r="N166" s="123">
        <f t="shared" si="27"/>
        <v>1.4999999999999999E-2</v>
      </c>
    </row>
    <row r="167" spans="1:14" x14ac:dyDescent="0.2">
      <c r="A167" s="117" t="s">
        <v>188</v>
      </c>
      <c r="B167" s="182"/>
      <c r="C167" s="183"/>
      <c r="D167" s="196" t="e">
        <f>[3]F1!D52*[3]F1!D81*K198</f>
        <v>#REF!</v>
      </c>
      <c r="E167" s="196">
        <f>'F1'!E64*'F1'!E93*L198</f>
        <v>0</v>
      </c>
      <c r="F167" s="196">
        <f>'F1'!F64*'F1'!F93*M198</f>
        <v>8025.8754363043317</v>
      </c>
      <c r="G167" s="196">
        <f>'F1'!G64*'F1'!G93*N198</f>
        <v>8186.3929450304186</v>
      </c>
      <c r="H167" s="32"/>
      <c r="I167" s="187" t="s">
        <v>177</v>
      </c>
      <c r="J167" s="123">
        <f t="shared" si="27"/>
        <v>1.4999999999999999E-2</v>
      </c>
      <c r="K167" s="123">
        <f t="shared" si="27"/>
        <v>1.4999999999999999E-2</v>
      </c>
      <c r="L167" s="123">
        <f t="shared" si="27"/>
        <v>1.4999999999999999E-2</v>
      </c>
      <c r="M167" s="123">
        <f t="shared" si="27"/>
        <v>1.4999999999999999E-2</v>
      </c>
      <c r="N167" s="123">
        <f t="shared" si="27"/>
        <v>1.4999999999999999E-2</v>
      </c>
    </row>
    <row r="168" spans="1:14" x14ac:dyDescent="0.2">
      <c r="A168" s="164" t="s">
        <v>189</v>
      </c>
      <c r="B168" s="182"/>
      <c r="C168" s="286" t="s">
        <v>277</v>
      </c>
      <c r="D168" s="197"/>
      <c r="E168" s="285">
        <f>'[3]F3 UNIVERSITE'!G102</f>
        <v>32540.803775999997</v>
      </c>
      <c r="F168" s="285">
        <f>'[3]F3 UNIVERSITE'!H102</f>
        <v>31673.943178029615</v>
      </c>
      <c r="G168" s="287">
        <f>'[3]F3 UNIVERSITE'!I102</f>
        <v>30794.079671089672</v>
      </c>
      <c r="H168" s="32"/>
      <c r="I168" s="187"/>
      <c r="J168" s="123">
        <f t="shared" si="27"/>
        <v>0</v>
      </c>
      <c r="K168" s="123">
        <f t="shared" si="27"/>
        <v>0</v>
      </c>
      <c r="L168" s="123">
        <f t="shared" si="27"/>
        <v>0</v>
      </c>
      <c r="M168" s="123">
        <f t="shared" si="27"/>
        <v>0</v>
      </c>
      <c r="N168" s="123">
        <f t="shared" si="27"/>
        <v>0</v>
      </c>
    </row>
    <row r="169" spans="1:14" x14ac:dyDescent="0.2">
      <c r="A169" s="164" t="s">
        <v>16</v>
      </c>
      <c r="B169" s="182"/>
      <c r="C169" s="183"/>
      <c r="D169" s="183" t="e">
        <f>[3]F1!D120</f>
        <v>#REF!</v>
      </c>
      <c r="E169" s="183">
        <f>'F1'!E152</f>
        <v>0</v>
      </c>
      <c r="F169" s="183">
        <f>'F1'!F152</f>
        <v>15900</v>
      </c>
      <c r="G169" s="184">
        <f>'F1'!G152</f>
        <v>15900</v>
      </c>
      <c r="H169" s="32"/>
      <c r="I169" s="187" t="s">
        <v>177</v>
      </c>
      <c r="J169" s="123">
        <f t="shared" si="27"/>
        <v>1.4999999999999999E-2</v>
      </c>
      <c r="K169" s="123">
        <f t="shared" si="27"/>
        <v>1.4999999999999999E-2</v>
      </c>
      <c r="L169" s="123">
        <f t="shared" si="27"/>
        <v>1.4999999999999999E-2</v>
      </c>
      <c r="M169" s="123">
        <f t="shared" si="27"/>
        <v>1.4999999999999999E-2</v>
      </c>
      <c r="N169" s="123">
        <f t="shared" si="27"/>
        <v>1.4999999999999999E-2</v>
      </c>
    </row>
    <row r="170" spans="1:14" x14ac:dyDescent="0.2">
      <c r="A170" s="164" t="s">
        <v>190</v>
      </c>
      <c r="B170" s="182"/>
      <c r="C170" s="286" t="s">
        <v>277</v>
      </c>
      <c r="D170" s="183"/>
      <c r="E170" s="285">
        <f>'[3]F3 UNIVERSITE'!$C$49/30</f>
        <v>107733.33333333333</v>
      </c>
      <c r="F170" s="285">
        <f>'[3]F3 UNIVERSITE'!$C$49/30</f>
        <v>107733.33333333333</v>
      </c>
      <c r="G170" s="287">
        <f>'[3]F3 UNIVERSITE'!$C$49/30</f>
        <v>107733.33333333333</v>
      </c>
      <c r="H170" s="32"/>
      <c r="I170" s="187"/>
      <c r="J170" s="123"/>
      <c r="K170" s="123"/>
      <c r="L170" s="123"/>
      <c r="M170" s="123"/>
      <c r="N170" s="123"/>
    </row>
    <row r="171" spans="1:14" ht="13.5" thickBot="1" x14ac:dyDescent="0.25">
      <c r="A171" s="164" t="s">
        <v>191</v>
      </c>
      <c r="B171" s="182"/>
      <c r="C171" s="286" t="s">
        <v>277</v>
      </c>
      <c r="D171" s="183"/>
      <c r="E171" s="285">
        <f>-'[3]F3 UNIVERSITE'!$C$53/30</f>
        <v>-53866.666666666664</v>
      </c>
      <c r="F171" s="285">
        <f>-'[3]F3 UNIVERSITE'!$C$53/30</f>
        <v>-53866.666666666664</v>
      </c>
      <c r="G171" s="287">
        <f>-'[3]F3 UNIVERSITE'!$C$53/30</f>
        <v>-53866.666666666664</v>
      </c>
      <c r="H171" s="32"/>
      <c r="I171" s="187"/>
      <c r="J171" s="123"/>
      <c r="K171" s="123"/>
      <c r="L171" s="123"/>
      <c r="M171" s="123"/>
      <c r="N171" s="123"/>
    </row>
    <row r="172" spans="1:14" ht="13.5" thickBot="1" x14ac:dyDescent="0.25">
      <c r="A172" s="195" t="s">
        <v>132</v>
      </c>
      <c r="B172" s="182">
        <f>[3]F1!B135</f>
        <v>0</v>
      </c>
      <c r="C172" s="182">
        <f>[3]F1!C135</f>
        <v>0</v>
      </c>
      <c r="D172" s="182">
        <f>[3]F1!D135</f>
        <v>0</v>
      </c>
      <c r="E172" s="182">
        <f>[3]F1!E135*H172</f>
        <v>0</v>
      </c>
      <c r="F172" s="182">
        <f>[3]F1!F135*I172</f>
        <v>0</v>
      </c>
      <c r="G172" s="182">
        <f>[3]F1!G135*J172</f>
        <v>0</v>
      </c>
      <c r="H172" s="192"/>
      <c r="I172" s="187"/>
      <c r="J172" s="123"/>
      <c r="K172" s="123"/>
      <c r="L172" s="123"/>
      <c r="M172" s="123"/>
      <c r="N172" s="123"/>
    </row>
    <row r="173" spans="1:14" x14ac:dyDescent="0.2">
      <c r="A173" s="117"/>
      <c r="B173" s="182"/>
      <c r="C173" s="183"/>
      <c r="D173" s="183"/>
      <c r="E173" s="183"/>
      <c r="F173" s="183"/>
      <c r="G173" s="193"/>
      <c r="H173" s="32"/>
      <c r="I173" s="187"/>
      <c r="J173" s="123"/>
      <c r="K173" s="123"/>
      <c r="L173" s="123"/>
      <c r="M173" s="123"/>
      <c r="N173" s="124"/>
    </row>
    <row r="174" spans="1:14" x14ac:dyDescent="0.2">
      <c r="A174" s="170" t="s">
        <v>194</v>
      </c>
      <c r="B174" s="185">
        <f t="shared" ref="B174:G174" si="28">SUM(B175:B183)</f>
        <v>0</v>
      </c>
      <c r="C174" s="185">
        <f t="shared" si="28"/>
        <v>0</v>
      </c>
      <c r="D174" s="185">
        <f t="shared" si="28"/>
        <v>0</v>
      </c>
      <c r="E174" s="185" t="e">
        <f t="shared" si="28"/>
        <v>#REF!</v>
      </c>
      <c r="F174" s="185" t="e">
        <f t="shared" si="28"/>
        <v>#REF!</v>
      </c>
      <c r="G174" s="185" t="e">
        <f t="shared" si="28"/>
        <v>#REF!</v>
      </c>
      <c r="H174" s="32"/>
      <c r="I174" s="187"/>
      <c r="J174" s="123"/>
      <c r="K174" s="123"/>
      <c r="L174" s="123"/>
      <c r="M174" s="123"/>
      <c r="N174" s="123"/>
    </row>
    <row r="175" spans="1:14" x14ac:dyDescent="0.2">
      <c r="A175" s="164" t="s">
        <v>185</v>
      </c>
      <c r="B175" s="182"/>
      <c r="C175" s="183"/>
      <c r="D175" s="183"/>
      <c r="E175" s="183">
        <f>47.75*130</f>
        <v>6207.5</v>
      </c>
      <c r="F175" s="183">
        <f>E175*(1+M175)</f>
        <v>6207.5</v>
      </c>
      <c r="G175" s="184">
        <f>F175*(1+N175)</f>
        <v>6207.5</v>
      </c>
      <c r="H175" s="32"/>
      <c r="I175" s="198" t="s">
        <v>186</v>
      </c>
      <c r="J175" s="123">
        <f t="shared" ref="J175:N180" si="29">J163</f>
        <v>0</v>
      </c>
      <c r="K175" s="123">
        <f t="shared" si="29"/>
        <v>0</v>
      </c>
      <c r="L175" s="123">
        <f t="shared" si="29"/>
        <v>0</v>
      </c>
      <c r="M175" s="123">
        <f t="shared" si="29"/>
        <v>0</v>
      </c>
      <c r="N175" s="123">
        <f t="shared" si="29"/>
        <v>0</v>
      </c>
    </row>
    <row r="176" spans="1:14" x14ac:dyDescent="0.2">
      <c r="A176" s="195" t="s">
        <v>8</v>
      </c>
      <c r="B176" s="182"/>
      <c r="C176" s="183"/>
      <c r="D176" s="196">
        <f>('F1'!D61*'F1'!D97)*K208</f>
        <v>0</v>
      </c>
      <c r="E176" s="196">
        <f>('F1'!E87*'F1'!E52)*L198</f>
        <v>0</v>
      </c>
      <c r="F176" s="196">
        <f>('F1'!F87*'F1'!F52)*M198</f>
        <v>0</v>
      </c>
      <c r="G176" s="196">
        <f>('F1'!G87*'F1'!G52)*N198</f>
        <v>0</v>
      </c>
      <c r="H176" s="32"/>
      <c r="I176" s="187" t="s">
        <v>175</v>
      </c>
      <c r="J176" s="123">
        <f t="shared" si="29"/>
        <v>0.05</v>
      </c>
      <c r="K176" s="123">
        <f t="shared" si="29"/>
        <v>0.05</v>
      </c>
      <c r="L176" s="123">
        <f t="shared" si="29"/>
        <v>0.05</v>
      </c>
      <c r="M176" s="123">
        <f t="shared" si="29"/>
        <v>0.05</v>
      </c>
      <c r="N176" s="123">
        <f t="shared" si="29"/>
        <v>0.05</v>
      </c>
    </row>
    <row r="177" spans="1:14" x14ac:dyDescent="0.2">
      <c r="A177" s="164" t="s">
        <v>187</v>
      </c>
      <c r="B177" s="182"/>
      <c r="C177" s="183"/>
      <c r="D177" s="183"/>
      <c r="E177" s="183">
        <v>1015</v>
      </c>
      <c r="F177" s="183">
        <f>E177*(1+M177)</f>
        <v>1035.3</v>
      </c>
      <c r="G177" s="184">
        <f>F177*(1+N177)</f>
        <v>1056.0060000000001</v>
      </c>
      <c r="H177" s="32"/>
      <c r="I177" s="187" t="s">
        <v>177</v>
      </c>
      <c r="J177" s="123">
        <f t="shared" si="29"/>
        <v>0.02</v>
      </c>
      <c r="K177" s="123">
        <f t="shared" si="29"/>
        <v>0.02</v>
      </c>
      <c r="L177" s="123">
        <f t="shared" si="29"/>
        <v>0.02</v>
      </c>
      <c r="M177" s="123">
        <f t="shared" si="29"/>
        <v>0.02</v>
      </c>
      <c r="N177" s="123">
        <f t="shared" si="29"/>
        <v>0.02</v>
      </c>
    </row>
    <row r="178" spans="1:14" x14ac:dyDescent="0.2">
      <c r="A178" s="117" t="s">
        <v>188</v>
      </c>
      <c r="B178" s="182"/>
      <c r="C178" s="183"/>
      <c r="D178" s="196">
        <f>'F1'!D74*'F1'!D103*K208</f>
        <v>0</v>
      </c>
      <c r="E178" s="196">
        <f>'F1'!E65*'F1'!E93*L198</f>
        <v>0</v>
      </c>
      <c r="F178" s="196">
        <f>'F1'!F65*'F1'!F93*M198</f>
        <v>0</v>
      </c>
      <c r="G178" s="196">
        <f>'F1'!G65*'F1'!G93*N198</f>
        <v>0</v>
      </c>
      <c r="H178" s="32"/>
      <c r="I178" s="187" t="s">
        <v>177</v>
      </c>
      <c r="J178" s="123">
        <f t="shared" si="29"/>
        <v>1.4999999999999999E-2</v>
      </c>
      <c r="K178" s="123">
        <f t="shared" si="29"/>
        <v>1.4999999999999999E-2</v>
      </c>
      <c r="L178" s="123">
        <f t="shared" si="29"/>
        <v>1.4999999999999999E-2</v>
      </c>
      <c r="M178" s="123">
        <f t="shared" si="29"/>
        <v>1.4999999999999999E-2</v>
      </c>
      <c r="N178" s="123">
        <f t="shared" si="29"/>
        <v>1.4999999999999999E-2</v>
      </c>
    </row>
    <row r="179" spans="1:14" x14ac:dyDescent="0.2">
      <c r="A179" s="164" t="s">
        <v>189</v>
      </c>
      <c r="B179" s="286" t="s">
        <v>278</v>
      </c>
      <c r="C179" s="285">
        <f>'[3]AUTRE PROJET'!E102</f>
        <v>0</v>
      </c>
      <c r="D179" s="285">
        <f>'[3]AUTRE PROJET'!F102</f>
        <v>0</v>
      </c>
      <c r="E179" s="285">
        <f>'[3]AUTRE PROJET'!G102</f>
        <v>9029.2675823999998</v>
      </c>
      <c r="F179" s="285">
        <f>'[3]AUTRE PROJET'!H102</f>
        <v>8788.7352234087102</v>
      </c>
      <c r="G179" s="285">
        <f>'[3]AUTRE PROJET'!I102</f>
        <v>8544.5948790325547</v>
      </c>
      <c r="H179" s="32"/>
      <c r="I179" s="187"/>
      <c r="J179" s="123">
        <f t="shared" si="29"/>
        <v>1.4999999999999999E-2</v>
      </c>
      <c r="K179" s="123">
        <f t="shared" si="29"/>
        <v>1.4999999999999999E-2</v>
      </c>
      <c r="L179" s="123">
        <f t="shared" si="29"/>
        <v>1.4999999999999999E-2</v>
      </c>
      <c r="M179" s="123">
        <f t="shared" si="29"/>
        <v>1.4999999999999999E-2</v>
      </c>
      <c r="N179" s="123">
        <f t="shared" si="29"/>
        <v>1.4999999999999999E-2</v>
      </c>
    </row>
    <row r="180" spans="1:14" x14ac:dyDescent="0.2">
      <c r="A180" s="164" t="s">
        <v>16</v>
      </c>
      <c r="B180" s="183">
        <f>'F1'!B162</f>
        <v>0</v>
      </c>
      <c r="C180" s="183">
        <f>'F1'!C153</f>
        <v>0</v>
      </c>
      <c r="D180" s="183">
        <f>'F1'!D153</f>
        <v>0</v>
      </c>
      <c r="E180" s="183">
        <f>'F1'!E153</f>
        <v>0</v>
      </c>
      <c r="F180" s="183">
        <f>'F1'!F153</f>
        <v>0</v>
      </c>
      <c r="G180" s="183">
        <f>'F1'!G153</f>
        <v>0</v>
      </c>
      <c r="H180" s="32"/>
      <c r="I180" s="187" t="s">
        <v>177</v>
      </c>
      <c r="J180" s="123">
        <f t="shared" si="29"/>
        <v>0</v>
      </c>
      <c r="K180" s="123">
        <f t="shared" si="29"/>
        <v>0</v>
      </c>
      <c r="L180" s="123">
        <f t="shared" si="29"/>
        <v>0</v>
      </c>
      <c r="M180" s="123">
        <f t="shared" si="29"/>
        <v>0</v>
      </c>
      <c r="N180" s="123">
        <f t="shared" si="29"/>
        <v>0</v>
      </c>
    </row>
    <row r="181" spans="1:14" x14ac:dyDescent="0.2">
      <c r="A181" s="164" t="s">
        <v>190</v>
      </c>
      <c r="B181" s="182"/>
      <c r="C181" s="183"/>
      <c r="D181" s="286" t="s">
        <v>278</v>
      </c>
      <c r="E181" s="285" t="e">
        <f>'[3]AUTRE PROJET'!$C$49/30</f>
        <v>#REF!</v>
      </c>
      <c r="F181" s="285" t="e">
        <f>'[3]AUTRE PROJET'!$C$49/30</f>
        <v>#REF!</v>
      </c>
      <c r="G181" s="285" t="e">
        <f>'[3]AUTRE PROJET'!$C$49/30</f>
        <v>#REF!</v>
      </c>
      <c r="H181" s="32"/>
      <c r="I181" s="187"/>
      <c r="J181" s="123"/>
      <c r="K181" s="123"/>
      <c r="L181" s="123"/>
      <c r="M181" s="123"/>
      <c r="N181" s="123"/>
    </row>
    <row r="182" spans="1:14" ht="13.5" thickBot="1" x14ac:dyDescent="0.25">
      <c r="A182" s="164" t="s">
        <v>191</v>
      </c>
      <c r="B182" s="182"/>
      <c r="C182" s="183"/>
      <c r="D182" s="286" t="s">
        <v>278</v>
      </c>
      <c r="E182" s="285">
        <f>-'[3]AUTRE PROJET'!$C$53/30</f>
        <v>-14946.666666666666</v>
      </c>
      <c r="F182" s="285">
        <f>-'[3]AUTRE PROJET'!$C$53/30</f>
        <v>-14946.666666666666</v>
      </c>
      <c r="G182" s="285">
        <f>-'[3]AUTRE PROJET'!$C$53/30</f>
        <v>-14946.666666666666</v>
      </c>
      <c r="H182" s="32"/>
      <c r="I182" s="187"/>
      <c r="J182" s="123"/>
      <c r="K182" s="123"/>
      <c r="L182" s="123"/>
      <c r="M182" s="123"/>
      <c r="N182" s="123"/>
    </row>
    <row r="183" spans="1:14" ht="13.5" thickBot="1" x14ac:dyDescent="0.25">
      <c r="A183" s="195" t="s">
        <v>132</v>
      </c>
      <c r="B183" s="182"/>
      <c r="C183" s="182"/>
      <c r="D183" s="182"/>
      <c r="E183" s="182"/>
      <c r="F183" s="182"/>
      <c r="G183" s="182"/>
      <c r="H183" s="192"/>
      <c r="I183" s="187"/>
      <c r="J183" s="123"/>
      <c r="K183" s="123"/>
      <c r="L183" s="123"/>
      <c r="M183" s="123"/>
      <c r="N183" s="123"/>
    </row>
    <row r="184" spans="1:14" x14ac:dyDescent="0.2">
      <c r="A184" s="164"/>
      <c r="B184" s="182"/>
      <c r="C184" s="183"/>
      <c r="D184" s="183"/>
      <c r="E184" s="183"/>
      <c r="F184" s="183"/>
      <c r="G184" s="184"/>
      <c r="H184" s="32"/>
      <c r="I184" s="187"/>
      <c r="J184" s="123"/>
      <c r="K184" s="123"/>
      <c r="L184" s="123"/>
      <c r="M184" s="123"/>
      <c r="N184" s="123"/>
    </row>
    <row r="185" spans="1:14" x14ac:dyDescent="0.2">
      <c r="A185" s="170" t="s">
        <v>31</v>
      </c>
      <c r="B185" s="199">
        <f>SUM(B186:B197)*0</f>
        <v>0</v>
      </c>
      <c r="C185" s="194">
        <f>SUM(C186:C197)</f>
        <v>33243.562744805196</v>
      </c>
      <c r="D185" s="194">
        <f>SUM(D186:D197)</f>
        <v>72056.760998805199</v>
      </c>
      <c r="E185" s="194">
        <f>SUM(E186:E197)</f>
        <v>77880.425093781305</v>
      </c>
      <c r="F185" s="194">
        <f>SUM(F186:F197)</f>
        <v>95567.693030360402</v>
      </c>
      <c r="G185" s="200">
        <f>SUM(G186:G197)</f>
        <v>105576.01216858986</v>
      </c>
      <c r="H185" s="32"/>
      <c r="I185" s="187"/>
      <c r="J185" s="123"/>
      <c r="K185" s="123"/>
      <c r="L185" s="123"/>
      <c r="M185" s="123"/>
      <c r="N185" s="123"/>
    </row>
    <row r="186" spans="1:14" x14ac:dyDescent="0.2">
      <c r="A186" s="164" t="s">
        <v>262</v>
      </c>
      <c r="B186" s="182">
        <f>'F1'!B71*'F1'!B87</f>
        <v>0</v>
      </c>
      <c r="C186" s="183">
        <f>'F1'!C71*'F1'!C99*J198</f>
        <v>6328.5627448051955</v>
      </c>
      <c r="D186" s="183">
        <f>'F1'!D71*'F1'!D99*K198</f>
        <v>25820.535998805197</v>
      </c>
      <c r="E186" s="183">
        <f>'F1'!E71*'F1'!E99*L198</f>
        <v>26336.946718781299</v>
      </c>
      <c r="F186" s="183">
        <f>'F1'!F71*'F1'!F99*M198</f>
        <v>40295.528479735389</v>
      </c>
      <c r="G186" s="183">
        <f>'F1'!G71*'F1'!G99*N198</f>
        <v>49532.503469705502</v>
      </c>
      <c r="H186" s="32"/>
      <c r="I186" s="187" t="s">
        <v>175</v>
      </c>
      <c r="J186" s="188">
        <f>$J3</f>
        <v>0.02</v>
      </c>
      <c r="K186" s="188">
        <f>$J3</f>
        <v>0.02</v>
      </c>
      <c r="L186" s="188">
        <f>$J3</f>
        <v>0.02</v>
      </c>
      <c r="M186" s="188">
        <f>$J3</f>
        <v>0.02</v>
      </c>
      <c r="N186" s="188">
        <f>$J3</f>
        <v>0.02</v>
      </c>
    </row>
    <row r="187" spans="1:14" x14ac:dyDescent="0.2">
      <c r="A187" s="164" t="s">
        <v>263</v>
      </c>
      <c r="B187" s="182"/>
      <c r="C187" s="285">
        <v>4800</v>
      </c>
      <c r="D187" s="183">
        <v>4800</v>
      </c>
      <c r="E187" s="183">
        <v>4800</v>
      </c>
      <c r="F187" s="183">
        <v>4800</v>
      </c>
      <c r="G187" s="184">
        <v>4800</v>
      </c>
      <c r="H187" s="32"/>
      <c r="I187" s="187" t="s">
        <v>177</v>
      </c>
      <c r="J187" s="123">
        <v>1.4999999999999999E-2</v>
      </c>
      <c r="K187" s="123">
        <v>1.4999999999999999E-2</v>
      </c>
      <c r="L187" s="123">
        <v>1.4999999999999999E-2</v>
      </c>
      <c r="M187" s="123">
        <v>1.4999999999999999E-2</v>
      </c>
      <c r="N187" s="123">
        <v>1.4999999999999999E-2</v>
      </c>
    </row>
    <row r="188" spans="1:14" x14ac:dyDescent="0.2">
      <c r="A188" s="195" t="s">
        <v>385</v>
      </c>
      <c r="B188" s="182"/>
      <c r="C188" s="196">
        <f>5200/2+4851</f>
        <v>7451</v>
      </c>
      <c r="D188" s="183">
        <f>5200+(4851*2)</f>
        <v>14902</v>
      </c>
      <c r="E188" s="183">
        <f t="shared" ref="E188:G188" si="30">5200+(4851*2)</f>
        <v>14902</v>
      </c>
      <c r="F188" s="183">
        <f t="shared" si="30"/>
        <v>14902</v>
      </c>
      <c r="G188" s="183">
        <f t="shared" si="30"/>
        <v>14902</v>
      </c>
      <c r="H188" s="32"/>
      <c r="I188" s="187" t="s">
        <v>177</v>
      </c>
      <c r="J188" s="123">
        <v>1.4999999999999999E-2</v>
      </c>
      <c r="K188" s="123">
        <v>1.4999999999999999E-2</v>
      </c>
      <c r="L188" s="123">
        <v>1.4999999999999999E-2</v>
      </c>
      <c r="M188" s="123">
        <v>1.4999999999999999E-2</v>
      </c>
      <c r="N188" s="123">
        <v>1.4999999999999999E-2</v>
      </c>
    </row>
    <row r="189" spans="1:14" x14ac:dyDescent="0.2">
      <c r="A189" s="164" t="s">
        <v>264</v>
      </c>
      <c r="B189" s="182"/>
      <c r="C189" s="183">
        <f>17220/2+1000</f>
        <v>9610</v>
      </c>
      <c r="D189" s="183">
        <v>17220</v>
      </c>
      <c r="E189" s="183">
        <v>17220</v>
      </c>
      <c r="F189" s="183">
        <v>17220</v>
      </c>
      <c r="G189" s="184">
        <v>17220</v>
      </c>
      <c r="H189" s="32"/>
      <c r="I189" s="187" t="s">
        <v>177</v>
      </c>
      <c r="J189" s="123">
        <v>1.4999999999999999E-2</v>
      </c>
      <c r="K189" s="123">
        <v>1.4999999999999999E-2</v>
      </c>
      <c r="L189" s="123">
        <v>1.4999999999999999E-2</v>
      </c>
      <c r="M189" s="123">
        <v>1.4999999999999999E-2</v>
      </c>
      <c r="N189" s="123">
        <v>1.4999999999999999E-2</v>
      </c>
    </row>
    <row r="190" spans="1:14" x14ac:dyDescent="0.2">
      <c r="A190" s="164" t="s">
        <v>270</v>
      </c>
      <c r="B190" s="182"/>
      <c r="C190" s="183">
        <f>1500+200+(1100/4)</f>
        <v>1975</v>
      </c>
      <c r="D190" s="183">
        <f>1100+500</f>
        <v>1600</v>
      </c>
      <c r="E190" s="183">
        <f>1100+500</f>
        <v>1600</v>
      </c>
      <c r="F190" s="183">
        <f>1500+1100+500</f>
        <v>3100</v>
      </c>
      <c r="G190" s="184">
        <f>1600</f>
        <v>1600</v>
      </c>
      <c r="H190" s="32"/>
      <c r="I190" s="187"/>
      <c r="J190" s="123"/>
      <c r="K190" s="123"/>
      <c r="L190" s="123"/>
      <c r="M190" s="123"/>
      <c r="N190" s="123"/>
    </row>
    <row r="191" spans="1:14" x14ac:dyDescent="0.2">
      <c r="A191" s="164" t="s">
        <v>269</v>
      </c>
      <c r="B191" s="182"/>
      <c r="C191" s="183"/>
      <c r="D191" s="183">
        <f>500*4</f>
        <v>2000</v>
      </c>
      <c r="E191" s="183">
        <f>500*4*2</f>
        <v>4000</v>
      </c>
      <c r="F191" s="183">
        <f>E191</f>
        <v>4000</v>
      </c>
      <c r="G191" s="184">
        <f>F191</f>
        <v>4000</v>
      </c>
      <c r="H191" s="32"/>
      <c r="I191" s="187"/>
      <c r="J191" s="123"/>
      <c r="K191" s="123"/>
      <c r="L191" s="123"/>
      <c r="M191" s="123"/>
      <c r="N191" s="123"/>
    </row>
    <row r="192" spans="1:14" x14ac:dyDescent="0.2">
      <c r="A192" s="164" t="s">
        <v>271</v>
      </c>
      <c r="B192" s="182"/>
      <c r="C192" s="183">
        <f>600</f>
        <v>600</v>
      </c>
      <c r="D192" s="183">
        <f>1.4*10000*8/100</f>
        <v>1120</v>
      </c>
      <c r="E192" s="183">
        <f>2*D192*1.07</f>
        <v>2396.8000000000002</v>
      </c>
      <c r="F192" s="183">
        <f>E192*1.07</f>
        <v>2564.5760000000005</v>
      </c>
      <c r="G192" s="183">
        <f>F192*1.07</f>
        <v>2744.0963200000006</v>
      </c>
      <c r="H192" s="32"/>
      <c r="I192" s="187"/>
      <c r="J192" s="123"/>
      <c r="K192" s="123"/>
      <c r="L192" s="123"/>
      <c r="M192" s="123"/>
      <c r="N192" s="123"/>
    </row>
    <row r="193" spans="1:22" x14ac:dyDescent="0.2">
      <c r="A193" s="164" t="s">
        <v>187</v>
      </c>
      <c r="B193" s="182"/>
      <c r="C193" s="183">
        <v>1015</v>
      </c>
      <c r="D193" s="183">
        <f>C193*(1+K193)+1000</f>
        <v>2030.2249999999999</v>
      </c>
      <c r="E193" s="183">
        <f>D193*(1+L193)+1000*2</f>
        <v>4060.6783749999995</v>
      </c>
      <c r="F193" s="183">
        <f>E193*(1+M193)+1000*2</f>
        <v>6121.5885506249988</v>
      </c>
      <c r="G193" s="184">
        <f>F193*(1+N193)+1000*2</f>
        <v>8213.4123788843735</v>
      </c>
      <c r="H193" s="32"/>
      <c r="I193" s="187" t="s">
        <v>177</v>
      </c>
      <c r="J193" s="123">
        <v>1.4999999999999999E-2</v>
      </c>
      <c r="K193" s="123">
        <v>1.4999999999999999E-2</v>
      </c>
      <c r="L193" s="123">
        <v>1.4999999999999999E-2</v>
      </c>
      <c r="M193" s="123">
        <v>1.4999999999999999E-2</v>
      </c>
      <c r="N193" s="123">
        <v>1.4999999999999999E-2</v>
      </c>
    </row>
    <row r="194" spans="1:22" x14ac:dyDescent="0.2">
      <c r="A194" s="164" t="s">
        <v>421</v>
      </c>
      <c r="B194" s="182"/>
      <c r="C194" s="183">
        <v>264</v>
      </c>
      <c r="D194" s="183">
        <v>264</v>
      </c>
      <c r="E194" s="183">
        <v>264</v>
      </c>
      <c r="F194" s="183">
        <v>264</v>
      </c>
      <c r="G194" s="184">
        <v>264</v>
      </c>
      <c r="H194" s="32"/>
      <c r="I194" s="187"/>
      <c r="J194" s="123"/>
      <c r="K194" s="123"/>
      <c r="L194" s="123"/>
      <c r="M194" s="123"/>
      <c r="N194" s="123"/>
    </row>
    <row r="195" spans="1:22" x14ac:dyDescent="0.2">
      <c r="A195" s="164" t="s">
        <v>195</v>
      </c>
      <c r="B195" s="182"/>
      <c r="C195" s="183">
        <v>1200</v>
      </c>
      <c r="D195" s="183">
        <v>2300</v>
      </c>
      <c r="E195" s="183">
        <v>2300</v>
      </c>
      <c r="F195" s="183">
        <v>2300</v>
      </c>
      <c r="G195" s="184">
        <v>2300</v>
      </c>
      <c r="H195" s="32"/>
      <c r="I195" s="187" t="s">
        <v>196</v>
      </c>
      <c r="J195" s="188">
        <v>0.01</v>
      </c>
      <c r="K195" s="188">
        <v>0.01</v>
      </c>
      <c r="L195" s="188">
        <v>0.01</v>
      </c>
      <c r="M195" s="188">
        <v>0.01</v>
      </c>
      <c r="N195" s="188">
        <v>0.01</v>
      </c>
      <c r="P195" s="16" t="s">
        <v>197</v>
      </c>
    </row>
    <row r="196" spans="1:22" x14ac:dyDescent="0.2">
      <c r="A196" s="164" t="s">
        <v>198</v>
      </c>
      <c r="B196" s="182"/>
      <c r="C196" s="183"/>
      <c r="D196" s="183"/>
      <c r="E196" s="183"/>
      <c r="F196" s="183"/>
      <c r="G196" s="184"/>
      <c r="H196" s="32"/>
      <c r="I196" s="187" t="s">
        <v>177</v>
      </c>
      <c r="J196" s="123">
        <v>1.4999999999999999E-2</v>
      </c>
      <c r="K196" s="123">
        <v>1.4999999999999999E-2</v>
      </c>
      <c r="L196" s="123">
        <v>1.4999999999999999E-2</v>
      </c>
      <c r="M196" s="123">
        <v>1.4999999999999999E-2</v>
      </c>
      <c r="N196" s="123">
        <v>1.4999999999999999E-2</v>
      </c>
      <c r="P196" s="16" t="s">
        <v>199</v>
      </c>
    </row>
    <row r="197" spans="1:22" x14ac:dyDescent="0.2">
      <c r="A197" s="164" t="s">
        <v>190</v>
      </c>
      <c r="B197" s="182"/>
      <c r="C197" s="183"/>
      <c r="D197" s="183"/>
      <c r="E197" s="183"/>
      <c r="F197" s="183"/>
      <c r="G197" s="184"/>
      <c r="H197" s="32"/>
      <c r="I197" s="187"/>
      <c r="J197" s="123"/>
      <c r="K197" s="123"/>
      <c r="L197" s="123"/>
      <c r="M197" s="123"/>
      <c r="N197" s="124"/>
    </row>
    <row r="198" spans="1:22" x14ac:dyDescent="0.2">
      <c r="A198" s="164"/>
      <c r="B198" s="182"/>
      <c r="C198" s="183"/>
      <c r="D198" s="183"/>
      <c r="E198" s="183"/>
      <c r="F198" s="183"/>
      <c r="G198" s="184"/>
      <c r="H198" s="32"/>
      <c r="I198" s="187" t="s">
        <v>200</v>
      </c>
      <c r="J198" s="123">
        <f>1+J186</f>
        <v>1.02</v>
      </c>
      <c r="K198" s="123">
        <f>J198*(1+K186)</f>
        <v>1.0404</v>
      </c>
      <c r="L198" s="123">
        <f>K198*(1+L186)</f>
        <v>1.0612079999999999</v>
      </c>
      <c r="M198" s="123">
        <f>L198*(1+M186)</f>
        <v>1.08243216</v>
      </c>
      <c r="N198" s="123">
        <f>M198*(1+N186)</f>
        <v>1.1040808032</v>
      </c>
    </row>
    <row r="199" spans="1:22" x14ac:dyDescent="0.2">
      <c r="A199" s="131" t="s">
        <v>201</v>
      </c>
      <c r="B199" s="201">
        <f>B185+B152+B141+B163</f>
        <v>0</v>
      </c>
      <c r="C199" s="201">
        <f>C185+C152+C141+C163+C144+C147+C174</f>
        <v>38131.77182584416</v>
      </c>
      <c r="D199" s="201" t="e">
        <f>D185+D152+D141+D163+D144+D147+D174</f>
        <v>#REF!</v>
      </c>
      <c r="E199" s="201" t="e">
        <f>E185+E152+E141+E163+E144+E147+E174</f>
        <v>#REF!</v>
      </c>
      <c r="F199" s="201" t="e">
        <f>F185+F152+F141+F163+F144+F147+F174</f>
        <v>#REF!</v>
      </c>
      <c r="G199" s="201" t="e">
        <f>G185+G152+G141+G163+G144+G147+G174</f>
        <v>#REF!</v>
      </c>
      <c r="H199" s="32"/>
      <c r="I199" s="115"/>
      <c r="J199" s="36"/>
      <c r="K199" s="36"/>
      <c r="L199" s="36"/>
      <c r="M199" s="36"/>
      <c r="N199" s="116"/>
    </row>
    <row r="200" spans="1:22" x14ac:dyDescent="0.2">
      <c r="A200" s="131" t="s">
        <v>202</v>
      </c>
      <c r="B200" s="202" t="e">
        <f>B185/(B141+B152+B163)</f>
        <v>#DIV/0!</v>
      </c>
      <c r="C200" s="202">
        <f>C185/(C141+C144+C147+C152+C163)</f>
        <v>6.8007653096825935</v>
      </c>
      <c r="D200" s="202" t="e">
        <f>D185/(D141+D144+D147+D152+D163)</f>
        <v>#REF!</v>
      </c>
      <c r="E200" s="202">
        <f>E185/(E141+E144+E147+E152+E163)</f>
        <v>0.68332501410724755</v>
      </c>
      <c r="F200" s="202">
        <f>F185/(F141+F144+F147+F152+F163)</f>
        <v>0.68200353630596311</v>
      </c>
      <c r="G200" s="202">
        <f>G185/(G141+G144+G147+G152+G163)</f>
        <v>0.75297349893280852</v>
      </c>
      <c r="H200" s="32"/>
      <c r="I200" s="115"/>
      <c r="J200" s="36"/>
      <c r="K200" s="36"/>
      <c r="L200" s="36"/>
      <c r="M200" s="36"/>
      <c r="N200" s="116"/>
    </row>
    <row r="201" spans="1:22" x14ac:dyDescent="0.2">
      <c r="A201" s="128"/>
      <c r="B201" s="104"/>
      <c r="C201" s="105"/>
      <c r="D201" s="105"/>
      <c r="E201" s="105"/>
      <c r="F201" s="105"/>
      <c r="G201" s="106"/>
      <c r="H201" s="32"/>
      <c r="I201" s="115"/>
      <c r="J201" s="36"/>
      <c r="K201" s="36"/>
      <c r="L201" s="36"/>
      <c r="M201" s="36"/>
      <c r="N201" s="116"/>
    </row>
    <row r="202" spans="1:22" x14ac:dyDescent="0.2">
      <c r="A202" s="107" t="s">
        <v>157</v>
      </c>
      <c r="B202" s="104"/>
      <c r="C202" s="105"/>
      <c r="D202" s="105"/>
      <c r="E202" s="105"/>
      <c r="F202" s="105"/>
      <c r="G202" s="106"/>
      <c r="H202" s="32"/>
      <c r="I202" s="115"/>
      <c r="J202" s="36"/>
      <c r="K202" s="36"/>
      <c r="L202" s="36"/>
      <c r="M202" s="36"/>
      <c r="N202" s="116"/>
    </row>
    <row r="203" spans="1:22" x14ac:dyDescent="0.2">
      <c r="A203" s="154" t="s">
        <v>203</v>
      </c>
      <c r="B203" s="203"/>
      <c r="C203" s="204">
        <f>SUM(C204:C206)</f>
        <v>4888.2090810389609</v>
      </c>
      <c r="D203" s="204">
        <f>SUM(D204:D206)</f>
        <v>19943.893050638959</v>
      </c>
      <c r="E203" s="204">
        <f>SUM(E204:E206)</f>
        <v>20342.770911651736</v>
      </c>
      <c r="F203" s="204">
        <f>SUM(F204:F206)</f>
        <v>20749.626329884773</v>
      </c>
      <c r="G203" s="204">
        <f>SUM(G204:G206)</f>
        <v>21164.61885648247</v>
      </c>
      <c r="H203" s="32"/>
      <c r="I203" s="115"/>
      <c r="J203" s="36"/>
      <c r="K203" s="36"/>
      <c r="L203" s="36"/>
      <c r="M203" s="36"/>
      <c r="N203" s="116"/>
    </row>
    <row r="204" spans="1:22" x14ac:dyDescent="0.2">
      <c r="A204" s="205" t="s">
        <v>204</v>
      </c>
      <c r="B204" s="206">
        <f t="shared" ref="B204:G204" si="31">B141</f>
        <v>0</v>
      </c>
      <c r="C204" s="207">
        <f t="shared" si="31"/>
        <v>0</v>
      </c>
      <c r="D204" s="207">
        <f t="shared" si="31"/>
        <v>0</v>
      </c>
      <c r="E204" s="207">
        <f t="shared" si="31"/>
        <v>0</v>
      </c>
      <c r="F204" s="207">
        <f t="shared" si="31"/>
        <v>0</v>
      </c>
      <c r="G204" s="207">
        <f t="shared" si="31"/>
        <v>0</v>
      </c>
      <c r="H204" s="208"/>
      <c r="I204" s="209"/>
      <c r="J204" s="210"/>
      <c r="K204" s="210"/>
      <c r="L204" s="210"/>
      <c r="M204" s="210"/>
      <c r="N204" s="211"/>
      <c r="O204" s="212"/>
      <c r="P204" s="212"/>
      <c r="Q204" s="212"/>
      <c r="R204" s="212"/>
      <c r="S204" s="212"/>
      <c r="T204" s="212"/>
      <c r="U204" s="212"/>
      <c r="V204" s="212"/>
    </row>
    <row r="205" spans="1:22" x14ac:dyDescent="0.2">
      <c r="A205" s="205" t="s">
        <v>205</v>
      </c>
      <c r="B205" s="206"/>
      <c r="C205" s="207">
        <f>C144</f>
        <v>2633.1785824675326</v>
      </c>
      <c r="D205" s="207">
        <f>D144</f>
        <v>10743.368616467531</v>
      </c>
      <c r="E205" s="207">
        <f>E144</f>
        <v>10958.235988796881</v>
      </c>
      <c r="F205" s="207">
        <f>F144</f>
        <v>11177.400708572819</v>
      </c>
      <c r="G205" s="207">
        <f>G144</f>
        <v>11400.948722744277</v>
      </c>
      <c r="H205" s="208"/>
      <c r="I205" s="209"/>
      <c r="J205" s="210"/>
      <c r="K205" s="210"/>
      <c r="L205" s="210"/>
      <c r="M205" s="210"/>
      <c r="N205" s="211"/>
      <c r="O205" s="212"/>
      <c r="P205" s="212"/>
      <c r="Q205" s="212"/>
      <c r="R205" s="212"/>
      <c r="S205" s="212"/>
      <c r="T205" s="212"/>
      <c r="U205" s="212"/>
      <c r="V205" s="212"/>
    </row>
    <row r="206" spans="1:22" x14ac:dyDescent="0.2">
      <c r="A206" s="205" t="s">
        <v>206</v>
      </c>
      <c r="B206" s="206"/>
      <c r="C206" s="207">
        <f>C147</f>
        <v>2255.0304985714283</v>
      </c>
      <c r="D206" s="207">
        <f>D147</f>
        <v>9200.5244341714279</v>
      </c>
      <c r="E206" s="207">
        <f>E147</f>
        <v>9384.5349228548566</v>
      </c>
      <c r="F206" s="207">
        <f>F147</f>
        <v>9572.2256213119545</v>
      </c>
      <c r="G206" s="207">
        <f>G147</f>
        <v>9763.6701337381928</v>
      </c>
      <c r="H206" s="208"/>
      <c r="I206" s="209"/>
      <c r="J206" s="210"/>
      <c r="K206" s="210"/>
      <c r="L206" s="210"/>
      <c r="M206" s="210"/>
      <c r="N206" s="211"/>
      <c r="O206" s="212"/>
      <c r="P206" s="212"/>
      <c r="Q206" s="212"/>
      <c r="R206" s="212"/>
      <c r="S206" s="212"/>
      <c r="T206" s="212"/>
      <c r="U206" s="212"/>
      <c r="V206" s="212"/>
    </row>
    <row r="207" spans="1:22" x14ac:dyDescent="0.2">
      <c r="A207" s="170" t="s">
        <v>207</v>
      </c>
      <c r="B207" s="213">
        <f>(B185-B189)*$G$286</f>
        <v>0</v>
      </c>
      <c r="C207" s="204">
        <f>(C185)*C286</f>
        <v>0</v>
      </c>
      <c r="D207" s="204">
        <f>(D185)*D286</f>
        <v>0</v>
      </c>
      <c r="E207" s="204">
        <f t="shared" ref="E207:G207" si="32">(E185)*E286</f>
        <v>0</v>
      </c>
      <c r="F207" s="204">
        <f t="shared" si="32"/>
        <v>9889.413201636542</v>
      </c>
      <c r="G207" s="204">
        <f t="shared" si="32"/>
        <v>10925.081221585027</v>
      </c>
      <c r="H207" s="208"/>
      <c r="I207" s="209"/>
      <c r="J207" s="210"/>
      <c r="K207" s="210"/>
      <c r="L207" s="210"/>
      <c r="M207" s="210"/>
      <c r="N207" s="211"/>
      <c r="O207" s="212"/>
      <c r="P207" s="212"/>
      <c r="Q207" s="212"/>
      <c r="R207" s="212"/>
      <c r="S207" s="212"/>
      <c r="T207" s="212"/>
      <c r="U207" s="212"/>
      <c r="V207" s="212"/>
    </row>
    <row r="208" spans="1:22" x14ac:dyDescent="0.2">
      <c r="A208" s="205" t="s">
        <v>272</v>
      </c>
      <c r="B208" s="206"/>
      <c r="C208" s="214" t="e">
        <f>((C$207)*('F1'!C12/'F4'!C$113))</f>
        <v>#DIV/0!</v>
      </c>
      <c r="D208" s="214" t="e">
        <f>((D$207)*('F1'!D12/'F4'!D$113))</f>
        <v>#DIV/0!</v>
      </c>
      <c r="E208" s="214" t="e">
        <f>((E$207)*('F1'!E12/'F4'!E$113))</f>
        <v>#DIV/0!</v>
      </c>
      <c r="F208" s="214">
        <f>((F$207)*('F1'!F12/'F4'!F$113))</f>
        <v>0</v>
      </c>
      <c r="G208" s="214">
        <f>((G$207)*('F1'!G12/'F4'!G$113))</f>
        <v>0</v>
      </c>
      <c r="H208" s="208"/>
      <c r="I208" s="209"/>
      <c r="J208" s="210"/>
      <c r="K208" s="210"/>
      <c r="L208" s="210"/>
      <c r="M208" s="210"/>
      <c r="N208" s="211"/>
      <c r="O208" s="212"/>
      <c r="P208" s="212"/>
      <c r="Q208" s="212"/>
      <c r="R208" s="212"/>
      <c r="S208" s="212"/>
      <c r="T208" s="212"/>
      <c r="U208" s="212"/>
      <c r="V208" s="212"/>
    </row>
    <row r="209" spans="1:22" x14ac:dyDescent="0.2">
      <c r="A209" s="205" t="s">
        <v>273</v>
      </c>
      <c r="B209" s="206"/>
      <c r="C209" s="214" t="e">
        <f>((C$207)*('F1'!C13/'F4'!C$113))</f>
        <v>#DIV/0!</v>
      </c>
      <c r="D209" s="214" t="e">
        <f>((D$207)*('F1'!D13/'F4'!D$113))</f>
        <v>#DIV/0!</v>
      </c>
      <c r="E209" s="214" t="e">
        <f>((E$207)*('F1'!E13/'F4'!E$113))</f>
        <v>#DIV/0!</v>
      </c>
      <c r="F209" s="214">
        <f>((F$207)*('F1'!F13/'F4'!F$113))</f>
        <v>2697.1126913554203</v>
      </c>
      <c r="G209" s="214">
        <f>((G$207)*('F1'!G13/'F4'!G$113))</f>
        <v>2979.5676058868253</v>
      </c>
      <c r="H209" s="208"/>
      <c r="I209" s="209"/>
      <c r="J209" s="210"/>
      <c r="K209" s="210"/>
      <c r="L209" s="210"/>
      <c r="M209" s="210"/>
      <c r="N209" s="211"/>
      <c r="O209" s="212"/>
      <c r="P209" s="212"/>
      <c r="Q209" s="212"/>
      <c r="R209" s="212"/>
      <c r="S209" s="212"/>
      <c r="T209" s="212"/>
      <c r="U209" s="212"/>
      <c r="V209" s="212"/>
    </row>
    <row r="210" spans="1:22" x14ac:dyDescent="0.2">
      <c r="A210" s="205" t="s">
        <v>274</v>
      </c>
      <c r="B210" s="206"/>
      <c r="C210" s="214" t="e">
        <f>((C$207)*('F1'!C14/'F4'!C$113))</f>
        <v>#DIV/0!</v>
      </c>
      <c r="D210" s="214" t="e">
        <f>((D$207)*('F1'!D14/'F4'!D$113))</f>
        <v>#DIV/0!</v>
      </c>
      <c r="E210" s="214" t="e">
        <f>((E$207)*('F1'!E14/'F4'!E$113))</f>
        <v>#DIV/0!</v>
      </c>
      <c r="F210" s="214">
        <f>((F$207)*('F1'!F14/'F4'!F$113))</f>
        <v>7192.3005102811212</v>
      </c>
      <c r="G210" s="214">
        <f>((G$207)*('F1'!G14/'F4'!G$113))</f>
        <v>7945.5136156982016</v>
      </c>
      <c r="H210" s="208"/>
      <c r="I210" s="209"/>
      <c r="J210" s="210"/>
      <c r="K210" s="210"/>
      <c r="L210" s="210"/>
      <c r="M210" s="210"/>
      <c r="N210" s="211"/>
      <c r="O210" s="212"/>
      <c r="P210" s="212"/>
      <c r="Q210" s="212"/>
      <c r="R210" s="212"/>
      <c r="S210" s="212"/>
      <c r="T210" s="212"/>
      <c r="U210" s="212"/>
      <c r="V210" s="212"/>
    </row>
    <row r="211" spans="1:22" x14ac:dyDescent="0.2">
      <c r="A211" s="154" t="s">
        <v>166</v>
      </c>
      <c r="B211" s="213">
        <f>(B204+B207)*$B2</f>
        <v>0</v>
      </c>
      <c r="C211" s="213">
        <f>(C204+C205+C206+C207)*$B2</f>
        <v>195.52836324155845</v>
      </c>
      <c r="D211" s="213">
        <f>(D204+D205+D206+D207)*$B2</f>
        <v>797.75572202555838</v>
      </c>
      <c r="E211" s="213">
        <f>(E204+E205+E206+E207)*$B2</f>
        <v>813.71083646606951</v>
      </c>
      <c r="F211" s="213">
        <f>(F204+F205+F206+F207)*$B2</f>
        <v>1225.5615812608528</v>
      </c>
      <c r="G211" s="213">
        <f>(G204+G205+G206+G207)*$B2</f>
        <v>1283.5880031227</v>
      </c>
      <c r="H211" s="208"/>
      <c r="I211" s="209"/>
      <c r="J211" s="210"/>
      <c r="K211" s="210"/>
      <c r="L211" s="210"/>
      <c r="M211" s="210"/>
      <c r="N211" s="211"/>
      <c r="O211" s="212"/>
      <c r="P211" s="212"/>
      <c r="Q211" s="212"/>
      <c r="R211" s="212"/>
      <c r="S211" s="212"/>
      <c r="T211" s="212"/>
      <c r="U211" s="212"/>
      <c r="V211" s="212"/>
    </row>
    <row r="212" spans="1:22" x14ac:dyDescent="0.2">
      <c r="A212" s="128" t="s">
        <v>208</v>
      </c>
      <c r="B212" s="206" t="e">
        <f>B216/B113</f>
        <v>#REF!</v>
      </c>
      <c r="C212" s="215" t="e">
        <f>C216/C31</f>
        <v>#DIV/0!</v>
      </c>
      <c r="D212" s="215" t="e">
        <f>D216/D31</f>
        <v>#DIV/0!</v>
      </c>
      <c r="E212" s="215" t="e">
        <f>E216/E31</f>
        <v>#DIV/0!</v>
      </c>
      <c r="F212" s="215">
        <f>F216/F31</f>
        <v>28.967819193438334</v>
      </c>
      <c r="G212" s="215">
        <f>G216/G31</f>
        <v>30.339352801082001</v>
      </c>
      <c r="H212" s="208"/>
      <c r="I212" s="209"/>
      <c r="J212" s="210"/>
      <c r="K212" s="210"/>
      <c r="L212" s="210"/>
      <c r="M212" s="210"/>
      <c r="N212" s="211"/>
      <c r="O212" s="212"/>
      <c r="P212" s="212"/>
      <c r="Q212" s="212"/>
      <c r="R212" s="212"/>
      <c r="S212" s="212"/>
      <c r="T212" s="212"/>
      <c r="U212" s="212"/>
      <c r="V212" s="212"/>
    </row>
    <row r="213" spans="1:22" x14ac:dyDescent="0.2">
      <c r="A213" s="216" t="s">
        <v>209</v>
      </c>
      <c r="B213" s="217"/>
      <c r="C213" s="207" t="e">
        <f>(C204+((C$207+C$211)*('F1'!C12/'F4'!C$113)))/'F1'!C12</f>
        <v>#DIV/0!</v>
      </c>
      <c r="D213" s="207" t="e">
        <f>(D204+((D$207+D$211)*('F1'!D12/'F4'!D$113)))/'F1'!D12</f>
        <v>#DIV/0!</v>
      </c>
      <c r="E213" s="207" t="e">
        <f>(E204+((E$207+E$211)*('F1'!E12/'F4'!E$113)))/'F1'!E12</f>
        <v>#DIV/0!</v>
      </c>
      <c r="F213" s="207" t="e">
        <f>(F204+((F$207+F$211)*('F1'!F12/'F4'!F$113)))/'F1'!F12</f>
        <v>#DIV/0!</v>
      </c>
      <c r="G213" s="207" t="e">
        <f>(G204+((G$207+G$211)*('F1'!G12/'F4'!G$113)))/'F1'!G12</f>
        <v>#DIV/0!</v>
      </c>
      <c r="H213" s="208"/>
      <c r="I213" s="209"/>
      <c r="J213" s="210"/>
      <c r="K213" s="210"/>
      <c r="L213" s="210"/>
      <c r="M213" s="210"/>
      <c r="N213" s="211"/>
      <c r="O213" s="212"/>
      <c r="P213" s="212"/>
      <c r="Q213" s="212"/>
      <c r="R213" s="212"/>
      <c r="S213" s="212"/>
      <c r="T213" s="212"/>
      <c r="U213" s="212"/>
      <c r="V213" s="212"/>
    </row>
    <row r="214" spans="1:22" x14ac:dyDescent="0.2">
      <c r="A214" s="216" t="s">
        <v>210</v>
      </c>
      <c r="B214" s="217"/>
      <c r="C214" s="207" t="e">
        <f>(C205+((C$207+C$211)*('F1'!C13/'F4'!C$113)))/'F1'!C13</f>
        <v>#DIV/0!</v>
      </c>
      <c r="D214" s="207" t="e">
        <f>(D205+((D$207+D$211)*('F1'!D13/'F4'!D$113)))/'F1'!D13</f>
        <v>#DIV/0!</v>
      </c>
      <c r="E214" s="207" t="e">
        <f>(E205+((E$207+E$211)*('F1'!E13/'F4'!E$113)))/'F1'!E13</f>
        <v>#DIV/0!</v>
      </c>
      <c r="F214" s="207">
        <f>(F205+((F$207+F$211)*('F1'!F13/'F4'!F$113)))/'F1'!F13</f>
        <v>47.362524891816122</v>
      </c>
      <c r="G214" s="207">
        <f>(G205+((G$207+G$211)*('F1'!G13/'F4'!G$113)))/'F1'!G13</f>
        <v>49.101952613427343</v>
      </c>
      <c r="H214" s="208"/>
      <c r="I214" s="209"/>
      <c r="J214" s="210"/>
      <c r="K214" s="210"/>
      <c r="L214" s="210"/>
      <c r="M214" s="210"/>
      <c r="N214" s="211"/>
      <c r="O214" s="212"/>
      <c r="P214" s="212"/>
      <c r="Q214" s="212"/>
      <c r="R214" s="212"/>
      <c r="S214" s="212"/>
      <c r="T214" s="212"/>
      <c r="U214" s="212"/>
      <c r="V214" s="212"/>
    </row>
    <row r="215" spans="1:22" x14ac:dyDescent="0.2">
      <c r="A215" s="216" t="s">
        <v>211</v>
      </c>
      <c r="B215" s="217"/>
      <c r="C215" s="207" t="e">
        <f>(C206+((C$207+C$211)*('F1'!C14/'F4'!C$113)))/'F1'!C14</f>
        <v>#DIV/0!</v>
      </c>
      <c r="D215" s="207" t="e">
        <f>(D206+((D$207+D$211)*('F1'!D14/'F4'!D$113)))/'F1'!D14</f>
        <v>#DIV/0!</v>
      </c>
      <c r="E215" s="207" t="e">
        <f>(E206+((E$207+E$211)*('F1'!E14/'F4'!E$113)))/'F1'!E14</f>
        <v>#DIV/0!</v>
      </c>
      <c r="F215" s="207">
        <f>(F206+((F$207+F$211)*('F1'!F14/'F4'!F$113)))/'F1'!F14</f>
        <v>22.069804556546664</v>
      </c>
      <c r="G215" s="207">
        <f>(G206+((G$207+G$211)*('F1'!G14/'F4'!G$113)))/'F1'!G14</f>
        <v>23.303377871452494</v>
      </c>
      <c r="H215" s="208"/>
      <c r="I215" s="209"/>
      <c r="J215" s="210"/>
      <c r="K215" s="210"/>
      <c r="L215" s="210"/>
      <c r="M215" s="210"/>
      <c r="N215" s="211"/>
      <c r="O215" s="212"/>
      <c r="P215" s="212"/>
      <c r="Q215" s="212"/>
      <c r="R215" s="212"/>
      <c r="S215" s="212"/>
      <c r="T215" s="212"/>
      <c r="U215" s="212"/>
      <c r="V215" s="212"/>
    </row>
    <row r="216" spans="1:22" x14ac:dyDescent="0.2">
      <c r="A216" s="218" t="s">
        <v>212</v>
      </c>
      <c r="B216" s="219">
        <f>B211+B204+B207</f>
        <v>0</v>
      </c>
      <c r="C216" s="220">
        <f>C211+C204+C205+C206+C207</f>
        <v>5083.7374442805194</v>
      </c>
      <c r="D216" s="220">
        <f>D211+D204+D205+D206+D207</f>
        <v>20741.648772664517</v>
      </c>
      <c r="E216" s="220">
        <f>E211+E204+E205+E206+E207</f>
        <v>21156.481748117807</v>
      </c>
      <c r="F216" s="220">
        <f>F211+F204+F205+F206+F207</f>
        <v>31864.601112782169</v>
      </c>
      <c r="G216" s="220">
        <f>G211+G204+G205+G206+G207</f>
        <v>33373.2880811902</v>
      </c>
      <c r="H216" s="32"/>
      <c r="I216" s="115"/>
      <c r="J216" s="36"/>
      <c r="K216" s="36"/>
      <c r="L216" s="36"/>
      <c r="M216" s="36"/>
      <c r="N216" s="116"/>
    </row>
    <row r="217" spans="1:22" x14ac:dyDescent="0.2">
      <c r="A217" s="154" t="s">
        <v>213</v>
      </c>
      <c r="B217" s="163">
        <f>B216-B204-B207</f>
        <v>0</v>
      </c>
      <c r="C217" s="155">
        <f>C216-C204-C207-C206-C205</f>
        <v>195.52836324155851</v>
      </c>
      <c r="D217" s="155">
        <f>D216-D204-D207-D206-D205</f>
        <v>797.7557220255585</v>
      </c>
      <c r="E217" s="155">
        <f>E216-E204-E207-E206-E205</f>
        <v>813.71083646606894</v>
      </c>
      <c r="F217" s="155">
        <f>F216-F204-F207-F206-F205</f>
        <v>1225.5615812608557</v>
      </c>
      <c r="G217" s="155">
        <f>G216-G204-G207-G206-G205</f>
        <v>1283.5880031227025</v>
      </c>
      <c r="H217" s="32"/>
      <c r="I217" s="115"/>
      <c r="J217" s="36"/>
      <c r="K217" s="36"/>
      <c r="L217" s="36"/>
      <c r="M217" s="36"/>
      <c r="N217" s="116"/>
    </row>
    <row r="218" spans="1:22" x14ac:dyDescent="0.2">
      <c r="A218" s="221"/>
      <c r="B218" s="163"/>
      <c r="C218" s="155"/>
      <c r="D218" s="155"/>
      <c r="E218" s="155"/>
      <c r="F218" s="155"/>
      <c r="G218" s="156"/>
      <c r="H218" s="32"/>
      <c r="I218" s="115"/>
      <c r="J218" s="36"/>
      <c r="K218" s="36"/>
      <c r="L218" s="36"/>
      <c r="M218" s="36"/>
      <c r="N218" s="116"/>
    </row>
    <row r="219" spans="1:22" x14ac:dyDescent="0.2">
      <c r="A219" s="221" t="s">
        <v>214</v>
      </c>
      <c r="B219" s="163"/>
      <c r="C219" s="155"/>
      <c r="D219" s="155"/>
      <c r="E219" s="155"/>
      <c r="F219" s="155"/>
      <c r="G219" s="156"/>
      <c r="H219" s="32"/>
      <c r="I219" s="115"/>
      <c r="J219" s="36"/>
      <c r="K219" s="36"/>
      <c r="L219" s="36"/>
      <c r="M219" s="36"/>
      <c r="N219" s="116"/>
    </row>
    <row r="220" spans="1:22" x14ac:dyDescent="0.2">
      <c r="A220" s="164" t="s">
        <v>215</v>
      </c>
      <c r="B220" s="163">
        <f t="shared" ref="B220:G220" si="33">B152</f>
        <v>0</v>
      </c>
      <c r="C220" s="155">
        <f t="shared" si="33"/>
        <v>0</v>
      </c>
      <c r="D220" s="155" t="e">
        <f t="shared" si="33"/>
        <v>#REF!</v>
      </c>
      <c r="E220" s="155">
        <f t="shared" si="33"/>
        <v>0</v>
      </c>
      <c r="F220" s="155">
        <f t="shared" si="33"/>
        <v>0</v>
      </c>
      <c r="G220" s="156">
        <f t="shared" si="33"/>
        <v>0</v>
      </c>
      <c r="H220" s="32"/>
      <c r="I220" s="115"/>
      <c r="J220" s="36"/>
      <c r="K220" s="36"/>
      <c r="L220" s="36"/>
      <c r="M220" s="36"/>
      <c r="N220" s="116"/>
    </row>
    <row r="221" spans="1:22" x14ac:dyDescent="0.2">
      <c r="A221" s="164" t="s">
        <v>216</v>
      </c>
      <c r="B221" s="163">
        <f>B185*$G$287</f>
        <v>0</v>
      </c>
      <c r="C221" s="222">
        <f>C185*C287</f>
        <v>0</v>
      </c>
      <c r="D221" s="222">
        <f>D185*D287</f>
        <v>0</v>
      </c>
      <c r="E221" s="222">
        <f>E185*E287</f>
        <v>0</v>
      </c>
      <c r="F221" s="222">
        <f>F185*F287</f>
        <v>0</v>
      </c>
      <c r="G221" s="222">
        <f>G185*G287</f>
        <v>0</v>
      </c>
      <c r="H221" s="32"/>
      <c r="I221" s="115"/>
      <c r="J221" s="36"/>
      <c r="K221" s="36"/>
      <c r="L221" s="36"/>
      <c r="M221" s="36"/>
      <c r="N221" s="116"/>
    </row>
    <row r="222" spans="1:22" x14ac:dyDescent="0.2">
      <c r="A222" s="128" t="s">
        <v>166</v>
      </c>
      <c r="B222" s="163">
        <f t="shared" ref="B222:G222" si="34">(B221+B220)*$B2</f>
        <v>0</v>
      </c>
      <c r="C222" s="163">
        <f t="shared" si="34"/>
        <v>0</v>
      </c>
      <c r="D222" s="163" t="e">
        <f t="shared" si="34"/>
        <v>#REF!</v>
      </c>
      <c r="E222" s="163">
        <f t="shared" si="34"/>
        <v>0</v>
      </c>
      <c r="F222" s="163">
        <f t="shared" si="34"/>
        <v>0</v>
      </c>
      <c r="G222" s="163">
        <f t="shared" si="34"/>
        <v>0</v>
      </c>
      <c r="H222" s="32"/>
      <c r="I222" s="115"/>
      <c r="J222" s="36"/>
      <c r="K222" s="36"/>
      <c r="L222" s="36"/>
      <c r="M222" s="36"/>
      <c r="N222" s="116"/>
    </row>
    <row r="223" spans="1:22" x14ac:dyDescent="0.2">
      <c r="A223" s="128" t="s">
        <v>217</v>
      </c>
      <c r="B223" s="163"/>
      <c r="C223" s="155"/>
      <c r="D223" s="183">
        <v>500</v>
      </c>
      <c r="E223" s="183">
        <v>500</v>
      </c>
      <c r="F223" s="183">
        <v>500</v>
      </c>
      <c r="G223" s="184">
        <v>500</v>
      </c>
      <c r="H223" s="32"/>
      <c r="I223" s="115"/>
      <c r="J223" s="36"/>
      <c r="K223" s="36"/>
      <c r="L223" s="36"/>
      <c r="M223" s="36"/>
      <c r="N223" s="116"/>
    </row>
    <row r="224" spans="1:22" x14ac:dyDescent="0.2">
      <c r="A224" s="128" t="s">
        <v>218</v>
      </c>
      <c r="B224" s="163"/>
      <c r="C224" s="155"/>
      <c r="D224" s="155" t="e">
        <f>D226/D223</f>
        <v>#REF!</v>
      </c>
      <c r="E224" s="155">
        <f>E226/E223</f>
        <v>0</v>
      </c>
      <c r="F224" s="155">
        <f>F226/F223</f>
        <v>0</v>
      </c>
      <c r="G224" s="156">
        <f>G226/G223</f>
        <v>0</v>
      </c>
      <c r="H224" s="32"/>
      <c r="I224" s="115"/>
      <c r="J224" s="36"/>
      <c r="K224" s="36"/>
      <c r="L224" s="36"/>
      <c r="M224" s="36"/>
      <c r="N224" s="116"/>
    </row>
    <row r="225" spans="1:14" x14ac:dyDescent="0.2">
      <c r="A225" s="128" t="s">
        <v>219</v>
      </c>
      <c r="B225" s="163">
        <f>-B221-B222</f>
        <v>0</v>
      </c>
      <c r="C225" s="155">
        <f>-C221-C222</f>
        <v>0</v>
      </c>
      <c r="D225" s="155">
        <f>-(B225+C225)/5</f>
        <v>0</v>
      </c>
      <c r="E225" s="155">
        <f>D225</f>
        <v>0</v>
      </c>
      <c r="F225" s="155">
        <f>E225</f>
        <v>0</v>
      </c>
      <c r="G225" s="156">
        <f>F225</f>
        <v>0</v>
      </c>
      <c r="H225" s="32"/>
      <c r="I225" s="115"/>
      <c r="J225" s="36"/>
      <c r="K225" s="36"/>
      <c r="L225" s="36"/>
      <c r="M225" s="36"/>
      <c r="N225" s="116"/>
    </row>
    <row r="226" spans="1:14" x14ac:dyDescent="0.2">
      <c r="A226" s="154" t="s">
        <v>220</v>
      </c>
      <c r="B226" s="163">
        <f t="shared" ref="B226:G226" si="35">B220+B221+B222+B225</f>
        <v>0</v>
      </c>
      <c r="C226" s="155">
        <f t="shared" si="35"/>
        <v>0</v>
      </c>
      <c r="D226" s="155" t="e">
        <f t="shared" si="35"/>
        <v>#REF!</v>
      </c>
      <c r="E226" s="155">
        <f t="shared" si="35"/>
        <v>0</v>
      </c>
      <c r="F226" s="155">
        <f t="shared" si="35"/>
        <v>0</v>
      </c>
      <c r="G226" s="156">
        <f t="shared" si="35"/>
        <v>0</v>
      </c>
      <c r="H226" s="32"/>
      <c r="I226" s="115"/>
      <c r="J226" s="36"/>
      <c r="K226" s="36"/>
      <c r="L226" s="36"/>
      <c r="M226" s="36"/>
      <c r="N226" s="116"/>
    </row>
    <row r="227" spans="1:14" x14ac:dyDescent="0.2">
      <c r="A227" s="221" t="s">
        <v>221</v>
      </c>
      <c r="B227" s="163">
        <f>B226-B225-B220-B221</f>
        <v>0</v>
      </c>
      <c r="C227" s="155">
        <f>C226-C225-C220-C221</f>
        <v>0</v>
      </c>
      <c r="D227" s="155" t="e">
        <f>D226-D220-D221</f>
        <v>#REF!</v>
      </c>
      <c r="E227" s="155">
        <f>E226-E220-E221</f>
        <v>0</v>
      </c>
      <c r="F227" s="155">
        <f>F226-F220-F221</f>
        <v>0</v>
      </c>
      <c r="G227" s="156">
        <f>G226-G220-G221</f>
        <v>0</v>
      </c>
      <c r="H227" s="32"/>
      <c r="I227" s="115"/>
      <c r="J227" s="36"/>
      <c r="K227" s="36"/>
      <c r="L227" s="36"/>
      <c r="M227" s="36"/>
      <c r="N227" s="116"/>
    </row>
    <row r="228" spans="1:14" x14ac:dyDescent="0.2">
      <c r="A228" s="221"/>
      <c r="B228" s="163"/>
      <c r="C228" s="155"/>
      <c r="D228" s="155"/>
      <c r="E228" s="155"/>
      <c r="F228" s="155"/>
      <c r="G228" s="156"/>
      <c r="H228" s="32"/>
      <c r="I228" s="115"/>
      <c r="J228" s="36"/>
      <c r="K228" s="36"/>
      <c r="L228" s="36"/>
      <c r="M228" s="36"/>
      <c r="N228" s="116"/>
    </row>
    <row r="229" spans="1:14" x14ac:dyDescent="0.2">
      <c r="A229" s="221" t="s">
        <v>222</v>
      </c>
      <c r="B229" s="163"/>
      <c r="C229" s="155"/>
      <c r="D229" s="155"/>
      <c r="E229" s="155"/>
      <c r="F229" s="155"/>
      <c r="G229" s="156"/>
      <c r="H229" s="32"/>
      <c r="I229" s="115"/>
      <c r="J229" s="36"/>
      <c r="K229" s="36"/>
      <c r="L229" s="36"/>
      <c r="M229" s="36"/>
      <c r="N229" s="116"/>
    </row>
    <row r="230" spans="1:14" x14ac:dyDescent="0.2">
      <c r="A230" s="164" t="s">
        <v>215</v>
      </c>
      <c r="B230" s="163">
        <f>B152</f>
        <v>0</v>
      </c>
      <c r="C230" s="155">
        <f>C152</f>
        <v>0</v>
      </c>
      <c r="D230" s="155" t="e">
        <f>D163</f>
        <v>#REF!</v>
      </c>
      <c r="E230" s="155">
        <f>E163</f>
        <v>93629.970442666672</v>
      </c>
      <c r="F230" s="155">
        <f>F163</f>
        <v>119378.22923520199</v>
      </c>
      <c r="G230" s="156">
        <f>G163</f>
        <v>119047.50324107215</v>
      </c>
      <c r="H230" s="32"/>
      <c r="I230" s="115"/>
      <c r="J230" s="36"/>
      <c r="K230" s="36"/>
      <c r="L230" s="36"/>
      <c r="M230" s="36"/>
      <c r="N230" s="116"/>
    </row>
    <row r="231" spans="1:14" x14ac:dyDescent="0.2">
      <c r="A231" s="164" t="s">
        <v>216</v>
      </c>
      <c r="B231" s="163">
        <f>B185*$G$288</f>
        <v>0</v>
      </c>
      <c r="C231" s="222">
        <f>C185*C287</f>
        <v>0</v>
      </c>
      <c r="D231" s="222">
        <f>D185*D287</f>
        <v>0</v>
      </c>
      <c r="E231" s="222">
        <f>E185*E288</f>
        <v>0</v>
      </c>
      <c r="F231" s="222">
        <f>F185*F288</f>
        <v>35332.176256756014</v>
      </c>
      <c r="G231" s="222">
        <f>G185*G288</f>
        <v>39032.335637117423</v>
      </c>
      <c r="H231" s="32"/>
      <c r="I231" s="115"/>
      <c r="J231" s="36"/>
      <c r="K231" s="36"/>
      <c r="L231" s="36"/>
      <c r="M231" s="36"/>
      <c r="N231" s="116"/>
    </row>
    <row r="232" spans="1:14" x14ac:dyDescent="0.2">
      <c r="A232" s="128" t="s">
        <v>166</v>
      </c>
      <c r="B232" s="163">
        <f t="shared" ref="B232:G232" si="36">(B230+B231)*$B2</f>
        <v>0</v>
      </c>
      <c r="C232" s="163">
        <f t="shared" si="36"/>
        <v>0</v>
      </c>
      <c r="D232" s="163" t="e">
        <f t="shared" si="36"/>
        <v>#REF!</v>
      </c>
      <c r="E232" s="163">
        <f t="shared" si="36"/>
        <v>3745.1988177066669</v>
      </c>
      <c r="F232" s="163">
        <f t="shared" si="36"/>
        <v>6188.41621967832</v>
      </c>
      <c r="G232" s="163">
        <f t="shared" si="36"/>
        <v>6323.1935551275828</v>
      </c>
      <c r="H232" s="32"/>
      <c r="I232" s="115"/>
      <c r="J232" s="36"/>
      <c r="K232" s="36"/>
      <c r="L232" s="36"/>
      <c r="M232" s="36"/>
      <c r="N232" s="116"/>
    </row>
    <row r="233" spans="1:14" x14ac:dyDescent="0.2">
      <c r="A233" s="128" t="s">
        <v>217</v>
      </c>
      <c r="B233" s="163"/>
      <c r="C233" s="155"/>
      <c r="D233" s="183">
        <v>3052</v>
      </c>
      <c r="E233" s="183">
        <v>3052</v>
      </c>
      <c r="F233" s="183">
        <v>3052</v>
      </c>
      <c r="G233" s="184">
        <v>3052</v>
      </c>
      <c r="H233" s="32"/>
      <c r="I233" s="115"/>
      <c r="J233" s="36"/>
      <c r="K233" s="36"/>
      <c r="L233" s="36"/>
      <c r="M233" s="36"/>
      <c r="N233" s="116"/>
    </row>
    <row r="234" spans="1:14" x14ac:dyDescent="0.2">
      <c r="A234" s="128" t="s">
        <v>218</v>
      </c>
      <c r="B234" s="163"/>
      <c r="C234" s="155"/>
      <c r="D234" s="223">
        <v>3052</v>
      </c>
      <c r="E234" s="223">
        <v>3052</v>
      </c>
      <c r="F234" s="223">
        <v>3052</v>
      </c>
      <c r="G234" s="224">
        <v>3052</v>
      </c>
      <c r="H234" s="32"/>
      <c r="I234" s="115"/>
      <c r="J234" s="36"/>
      <c r="K234" s="36"/>
      <c r="L234" s="36"/>
      <c r="M234" s="36"/>
      <c r="N234" s="116"/>
    </row>
    <row r="235" spans="1:14" x14ac:dyDescent="0.2">
      <c r="A235" s="128" t="s">
        <v>219</v>
      </c>
      <c r="B235" s="225">
        <f>-B231-B232</f>
        <v>0</v>
      </c>
      <c r="C235" s="222">
        <f>-C231-C232</f>
        <v>0</v>
      </c>
      <c r="D235" s="222" t="e">
        <f>-D231-D232</f>
        <v>#REF!</v>
      </c>
      <c r="E235" s="155" t="e">
        <f>-SUM(B235:D235)/5</f>
        <v>#REF!</v>
      </c>
      <c r="F235" s="155" t="e">
        <f>E235</f>
        <v>#REF!</v>
      </c>
      <c r="G235" s="156" t="e">
        <f>F235</f>
        <v>#REF!</v>
      </c>
      <c r="H235" s="32"/>
      <c r="I235" s="115"/>
      <c r="J235" s="36"/>
      <c r="K235" s="36"/>
      <c r="L235" s="36"/>
      <c r="M235" s="36"/>
      <c r="N235" s="116"/>
    </row>
    <row r="236" spans="1:14" x14ac:dyDescent="0.2">
      <c r="A236" s="154" t="s">
        <v>223</v>
      </c>
      <c r="B236" s="163"/>
      <c r="C236" s="155"/>
      <c r="D236" s="155" t="e">
        <f>D230+D231+D235+D232</f>
        <v>#REF!</v>
      </c>
      <c r="E236" s="155" t="e">
        <f>E230+E231+E235+E232</f>
        <v>#REF!</v>
      </c>
      <c r="F236" s="155" t="e">
        <f>F230+F231+F235+F232</f>
        <v>#REF!</v>
      </c>
      <c r="G236" s="156" t="e">
        <f>G230+G231+G235+G232</f>
        <v>#REF!</v>
      </c>
      <c r="H236" s="32"/>
      <c r="I236" s="115"/>
      <c r="J236" s="36"/>
      <c r="K236" s="36"/>
      <c r="L236" s="36"/>
      <c r="M236" s="36"/>
      <c r="N236" s="116"/>
    </row>
    <row r="237" spans="1:14" x14ac:dyDescent="0.2">
      <c r="A237" s="221" t="s">
        <v>224</v>
      </c>
      <c r="B237" s="163">
        <f>B236-B235-B230-B231</f>
        <v>0</v>
      </c>
      <c r="C237" s="155">
        <f>C236-C235-C230-C231</f>
        <v>0</v>
      </c>
      <c r="D237" s="155" t="e">
        <f>D236-D235-D230-D231</f>
        <v>#REF!</v>
      </c>
      <c r="E237" s="155" t="e">
        <f>E236-E230-E231</f>
        <v>#REF!</v>
      </c>
      <c r="F237" s="155" t="e">
        <f>F236-F230-F231</f>
        <v>#REF!</v>
      </c>
      <c r="G237" s="156" t="e">
        <f>G236-G230-G231</f>
        <v>#REF!</v>
      </c>
      <c r="H237" s="32"/>
      <c r="I237" s="115"/>
      <c r="J237" s="36"/>
      <c r="K237" s="36"/>
      <c r="L237" s="36"/>
      <c r="M237" s="36"/>
      <c r="N237" s="116"/>
    </row>
    <row r="238" spans="1:14" x14ac:dyDescent="0.2">
      <c r="A238" s="221"/>
      <c r="B238" s="163"/>
      <c r="C238" s="155"/>
      <c r="D238" s="155"/>
      <c r="E238" s="155"/>
      <c r="F238" s="155"/>
      <c r="G238" s="156"/>
      <c r="H238" s="32"/>
      <c r="I238" s="115"/>
      <c r="J238" s="36"/>
      <c r="K238" s="36"/>
      <c r="L238" s="36"/>
      <c r="M238" s="36"/>
      <c r="N238" s="116"/>
    </row>
    <row r="239" spans="1:14" x14ac:dyDescent="0.2">
      <c r="A239" s="221" t="s">
        <v>225</v>
      </c>
      <c r="B239" s="163"/>
      <c r="C239" s="155"/>
      <c r="D239" s="155"/>
      <c r="E239" s="155"/>
      <c r="F239" s="155"/>
      <c r="G239" s="156"/>
      <c r="H239" s="32"/>
      <c r="I239" s="115"/>
      <c r="J239" s="36"/>
      <c r="K239" s="36"/>
      <c r="L239" s="36"/>
      <c r="M239" s="36"/>
      <c r="N239" s="116"/>
    </row>
    <row r="240" spans="1:14" x14ac:dyDescent="0.2">
      <c r="A240" s="164" t="s">
        <v>215</v>
      </c>
      <c r="B240" s="163">
        <f>B162</f>
        <v>0</v>
      </c>
      <c r="C240" s="155">
        <f>C162</f>
        <v>0</v>
      </c>
      <c r="D240" s="155">
        <f>D173</f>
        <v>0</v>
      </c>
      <c r="E240" s="155" t="e">
        <f>E174</f>
        <v>#REF!</v>
      </c>
      <c r="F240" s="155" t="e">
        <f>F174</f>
        <v>#REF!</v>
      </c>
      <c r="G240" s="155" t="e">
        <f>G174</f>
        <v>#REF!</v>
      </c>
      <c r="H240" s="32"/>
      <c r="I240" s="115"/>
      <c r="J240" s="36"/>
      <c r="K240" s="36"/>
      <c r="L240" s="36"/>
      <c r="M240" s="36"/>
      <c r="N240" s="116"/>
    </row>
    <row r="241" spans="1:14" x14ac:dyDescent="0.2">
      <c r="A241" s="226" t="s">
        <v>216</v>
      </c>
      <c r="B241" s="163">
        <f>B199*$G$288</f>
        <v>0</v>
      </c>
      <c r="C241" s="222">
        <f>C199*C297</f>
        <v>0</v>
      </c>
      <c r="D241" s="222" t="e">
        <f>D199*D297</f>
        <v>#REF!</v>
      </c>
      <c r="E241" s="222" t="e">
        <f>E199*E297</f>
        <v>#REF!</v>
      </c>
      <c r="F241" s="222" t="e">
        <f>F199*F297</f>
        <v>#REF!</v>
      </c>
      <c r="G241" s="222" t="e">
        <f>G199*G297</f>
        <v>#REF!</v>
      </c>
      <c r="H241" s="32"/>
      <c r="I241" s="115"/>
      <c r="J241" s="36"/>
      <c r="K241" s="36"/>
      <c r="L241" s="36"/>
      <c r="M241" s="36"/>
      <c r="N241" s="116"/>
    </row>
    <row r="242" spans="1:14" x14ac:dyDescent="0.2">
      <c r="A242" s="128" t="s">
        <v>166</v>
      </c>
      <c r="B242" s="163">
        <f t="shared" ref="B242:G242" si="37">(B240+B241)*$B12</f>
        <v>0</v>
      </c>
      <c r="C242" s="163">
        <f t="shared" si="37"/>
        <v>0</v>
      </c>
      <c r="D242" s="163" t="e">
        <f t="shared" si="37"/>
        <v>#REF!</v>
      </c>
      <c r="E242" s="163" t="e">
        <f t="shared" si="37"/>
        <v>#REF!</v>
      </c>
      <c r="F242" s="163" t="e">
        <f t="shared" si="37"/>
        <v>#REF!</v>
      </c>
      <c r="G242" s="163" t="e">
        <f t="shared" si="37"/>
        <v>#REF!</v>
      </c>
      <c r="H242" s="32"/>
      <c r="I242" s="115"/>
      <c r="J242" s="36"/>
      <c r="K242" s="36"/>
      <c r="L242" s="36"/>
      <c r="M242" s="36"/>
      <c r="N242" s="116"/>
    </row>
    <row r="243" spans="1:14" x14ac:dyDescent="0.2">
      <c r="A243" s="128" t="s">
        <v>217</v>
      </c>
      <c r="B243" s="163"/>
      <c r="C243" s="155"/>
      <c r="D243" s="183">
        <v>3052</v>
      </c>
      <c r="E243" s="183">
        <v>3052</v>
      </c>
      <c r="F243" s="183">
        <v>3052</v>
      </c>
      <c r="G243" s="184">
        <v>3052</v>
      </c>
      <c r="H243" s="32"/>
      <c r="I243" s="115"/>
      <c r="J243" s="36"/>
      <c r="K243" s="36"/>
      <c r="L243" s="36"/>
      <c r="M243" s="36"/>
      <c r="N243" s="116"/>
    </row>
    <row r="244" spans="1:14" x14ac:dyDescent="0.2">
      <c r="A244" s="128" t="s">
        <v>218</v>
      </c>
      <c r="B244" s="163"/>
      <c r="C244" s="155"/>
      <c r="D244" s="223">
        <v>3052</v>
      </c>
      <c r="E244" s="223">
        <v>3052</v>
      </c>
      <c r="F244" s="223">
        <v>3052</v>
      </c>
      <c r="G244" s="224">
        <v>3052</v>
      </c>
      <c r="H244" s="32"/>
      <c r="I244" s="115"/>
      <c r="J244" s="36"/>
      <c r="K244" s="36"/>
      <c r="L244" s="36"/>
      <c r="M244" s="36"/>
      <c r="N244" s="116"/>
    </row>
    <row r="245" spans="1:14" x14ac:dyDescent="0.2">
      <c r="A245" s="128" t="s">
        <v>219</v>
      </c>
      <c r="B245" s="225">
        <f>-B241-B242</f>
        <v>0</v>
      </c>
      <c r="C245" s="222">
        <f>-C241-C242</f>
        <v>0</v>
      </c>
      <c r="D245" s="222" t="e">
        <f>-D241-D242</f>
        <v>#REF!</v>
      </c>
      <c r="E245" s="155" t="e">
        <f>-SUM(B245:D245)/5</f>
        <v>#REF!</v>
      </c>
      <c r="F245" s="155" t="e">
        <f>E245</f>
        <v>#REF!</v>
      </c>
      <c r="G245" s="156" t="e">
        <f>F245</f>
        <v>#REF!</v>
      </c>
      <c r="H245" s="32"/>
      <c r="I245" s="115"/>
      <c r="J245" s="36"/>
      <c r="K245" s="36"/>
      <c r="L245" s="36"/>
      <c r="M245" s="36"/>
      <c r="N245" s="116"/>
    </row>
    <row r="246" spans="1:14" x14ac:dyDescent="0.2">
      <c r="A246" s="154" t="s">
        <v>223</v>
      </c>
      <c r="B246" s="163"/>
      <c r="C246" s="155"/>
      <c r="D246" s="155" t="e">
        <f>D240+D241+D245+D242</f>
        <v>#REF!</v>
      </c>
      <c r="E246" s="155" t="e">
        <f>E240+E241+E245+E242</f>
        <v>#REF!</v>
      </c>
      <c r="F246" s="155" t="e">
        <f>F240+F241+F245+F242</f>
        <v>#REF!</v>
      </c>
      <c r="G246" s="156" t="e">
        <f>G240+G241+G245+G242</f>
        <v>#REF!</v>
      </c>
      <c r="H246" s="32"/>
      <c r="I246" s="115"/>
      <c r="J246" s="36"/>
      <c r="K246" s="36"/>
      <c r="L246" s="36"/>
      <c r="M246" s="36"/>
      <c r="N246" s="116"/>
    </row>
    <row r="247" spans="1:14" x14ac:dyDescent="0.2">
      <c r="A247" s="221" t="s">
        <v>224</v>
      </c>
      <c r="B247" s="163">
        <f>B246-B245-B240-B241</f>
        <v>0</v>
      </c>
      <c r="C247" s="155">
        <f>C246-C245-C240-C241</f>
        <v>0</v>
      </c>
      <c r="D247" s="155" t="e">
        <f>D246-D245-D240-D241</f>
        <v>#REF!</v>
      </c>
      <c r="E247" s="155" t="e">
        <f>E246-E240-E241</f>
        <v>#REF!</v>
      </c>
      <c r="F247" s="155" t="e">
        <f>F246-F240-F241</f>
        <v>#REF!</v>
      </c>
      <c r="G247" s="156" t="e">
        <f>G246-G240-G241</f>
        <v>#REF!</v>
      </c>
      <c r="H247" s="32"/>
      <c r="I247" s="115"/>
      <c r="J247" s="36"/>
      <c r="K247" s="36"/>
      <c r="L247" s="36"/>
      <c r="M247" s="36"/>
      <c r="N247" s="116"/>
    </row>
    <row r="248" spans="1:14" x14ac:dyDescent="0.2">
      <c r="A248" s="221"/>
      <c r="B248" s="104"/>
      <c r="C248" s="155"/>
      <c r="D248" s="155"/>
      <c r="E248" s="155"/>
      <c r="F248" s="155"/>
      <c r="G248" s="156"/>
      <c r="H248" s="32"/>
      <c r="I248" s="115"/>
      <c r="J248" s="36"/>
      <c r="K248" s="36"/>
      <c r="L248" s="36"/>
      <c r="M248" s="36"/>
      <c r="N248" s="116"/>
    </row>
    <row r="249" spans="1:14" x14ac:dyDescent="0.2">
      <c r="A249" s="221" t="s">
        <v>226</v>
      </c>
      <c r="B249" s="227">
        <f>B217+B237+B227</f>
        <v>0</v>
      </c>
      <c r="C249" s="228">
        <f>C217+C237</f>
        <v>195.52836324155851</v>
      </c>
      <c r="D249" s="228" t="e">
        <f>D217+D237</f>
        <v>#REF!</v>
      </c>
      <c r="E249" s="228" t="e">
        <f>E217+E237-E235</f>
        <v>#REF!</v>
      </c>
      <c r="F249" s="228" t="e">
        <f>F217+F237</f>
        <v>#REF!</v>
      </c>
      <c r="G249" s="229" t="e">
        <f>G217+G237</f>
        <v>#REF!</v>
      </c>
      <c r="H249" s="32"/>
      <c r="I249" s="230"/>
      <c r="J249" s="231"/>
      <c r="K249" s="231"/>
      <c r="L249" s="231"/>
      <c r="M249" s="231"/>
      <c r="N249" s="232"/>
    </row>
    <row r="250" spans="1:14" x14ac:dyDescent="0.2">
      <c r="A250" s="221"/>
      <c r="B250" s="104"/>
      <c r="C250" s="155"/>
      <c r="D250" s="155"/>
      <c r="E250" s="155"/>
      <c r="F250" s="155"/>
      <c r="G250" s="156"/>
      <c r="H250" s="32"/>
      <c r="I250" s="230"/>
      <c r="J250" s="231"/>
      <c r="K250" s="231"/>
      <c r="L250" s="231"/>
      <c r="M250" s="231"/>
      <c r="N250" s="232"/>
    </row>
    <row r="251" spans="1:14" x14ac:dyDescent="0.2">
      <c r="A251" s="233" t="s">
        <v>227</v>
      </c>
      <c r="B251" s="234" t="e">
        <f t="shared" ref="B251:G251" si="38">B249+B137</f>
        <v>#REF!</v>
      </c>
      <c r="C251" s="235" t="e">
        <f t="shared" si="38"/>
        <v>#DIV/0!</v>
      </c>
      <c r="D251" s="235" t="e">
        <f t="shared" si="38"/>
        <v>#REF!</v>
      </c>
      <c r="E251" s="235" t="e">
        <f t="shared" si="38"/>
        <v>#REF!</v>
      </c>
      <c r="F251" s="235" t="e">
        <f t="shared" si="38"/>
        <v>#REF!</v>
      </c>
      <c r="G251" s="236" t="e">
        <f t="shared" si="38"/>
        <v>#REF!</v>
      </c>
      <c r="H251" s="32"/>
      <c r="I251" s="237"/>
      <c r="J251" s="238"/>
      <c r="K251" s="238"/>
      <c r="L251" s="238"/>
      <c r="M251" s="238"/>
      <c r="N251" s="239"/>
    </row>
    <row r="252" spans="1:14" x14ac:dyDescent="0.2">
      <c r="A252" s="154"/>
      <c r="B252" s="163"/>
      <c r="C252" s="155"/>
      <c r="D252" s="155"/>
      <c r="E252" s="155"/>
      <c r="F252" s="155"/>
      <c r="G252" s="156"/>
    </row>
    <row r="253" spans="1:14" x14ac:dyDescent="0.2">
      <c r="A253" s="154" t="s">
        <v>228</v>
      </c>
      <c r="B253" s="182"/>
      <c r="C253" s="183"/>
      <c r="D253" s="183"/>
      <c r="E253" s="183"/>
      <c r="F253" s="183"/>
      <c r="G253" s="184"/>
    </row>
    <row r="254" spans="1:14" x14ac:dyDescent="0.2">
      <c r="A254" s="221" t="s">
        <v>229</v>
      </c>
      <c r="B254" s="182" t="e">
        <f>0.15*B251</f>
        <v>#REF!</v>
      </c>
      <c r="C254" s="183" t="e">
        <f>IF(C251&lt;38000,0.15*C251,0.15*(C251-38000))</f>
        <v>#DIV/0!</v>
      </c>
      <c r="D254" s="183" t="e">
        <f>IF(D251&lt;38000,0.15*D251,0.15*(D251-38000))</f>
        <v>#REF!</v>
      </c>
      <c r="E254" s="183" t="e">
        <f>IF(E251&lt;38000,0.15*E251,0.15*(E251-38000))</f>
        <v>#REF!</v>
      </c>
      <c r="F254" s="183" t="e">
        <f>IF(F251&lt;38000,0.15*F251,0.15*(F251-38000))</f>
        <v>#REF!</v>
      </c>
      <c r="G254" s="183" t="e">
        <f>IF(G251&lt;38000,0.15*G251,0.15*(G251-38000))</f>
        <v>#REF!</v>
      </c>
      <c r="I254" s="212"/>
    </row>
    <row r="255" spans="1:14" x14ac:dyDescent="0.2">
      <c r="A255" s="233" t="s">
        <v>230</v>
      </c>
      <c r="B255" s="240"/>
      <c r="C255" s="241" t="e">
        <f>IF(C251&gt;38000,0.3334*(C251-38000),0)</f>
        <v>#DIV/0!</v>
      </c>
      <c r="D255" s="241" t="e">
        <f>IF(D251&gt;38000,0.3334*(D251-38000),0)</f>
        <v>#REF!</v>
      </c>
      <c r="E255" s="241" t="e">
        <f>IF(E251&gt;38000,0.3334*(E251-38000),0)</f>
        <v>#REF!</v>
      </c>
      <c r="F255" s="241" t="e">
        <f>IF(F251&gt;38000,0.3334*(F251-38000),0)</f>
        <v>#REF!</v>
      </c>
      <c r="G255" s="241" t="e">
        <f>IF(G251&gt;38000,0.3334*(G251-38000),0)</f>
        <v>#REF!</v>
      </c>
      <c r="I255" s="212"/>
    </row>
    <row r="257" spans="1:7" x14ac:dyDescent="0.2">
      <c r="A257" s="242" t="s">
        <v>231</v>
      </c>
      <c r="B257" s="243" t="e">
        <f t="shared" ref="B257:G257" si="39">B251-B254-B255</f>
        <v>#REF!</v>
      </c>
      <c r="C257" s="243" t="e">
        <f t="shared" si="39"/>
        <v>#DIV/0!</v>
      </c>
      <c r="D257" s="243" t="e">
        <f t="shared" si="39"/>
        <v>#REF!</v>
      </c>
      <c r="E257" s="243" t="e">
        <f t="shared" si="39"/>
        <v>#REF!</v>
      </c>
      <c r="F257" s="243" t="e">
        <f t="shared" si="39"/>
        <v>#REF!</v>
      </c>
      <c r="G257" s="243" t="e">
        <f t="shared" si="39"/>
        <v>#REF!</v>
      </c>
    </row>
    <row r="259" spans="1:7" x14ac:dyDescent="0.2">
      <c r="A259" s="244" t="s">
        <v>232</v>
      </c>
    </row>
    <row r="260" spans="1:7" x14ac:dyDescent="0.2">
      <c r="A260" s="245" t="s">
        <v>233</v>
      </c>
      <c r="B260" s="246">
        <f t="shared" ref="B260:G260" si="40">B120*B119</f>
        <v>0</v>
      </c>
      <c r="C260" s="246">
        <f t="shared" si="40"/>
        <v>0</v>
      </c>
      <c r="D260" s="246">
        <f t="shared" si="40"/>
        <v>0</v>
      </c>
      <c r="E260" s="246">
        <f t="shared" si="40"/>
        <v>0</v>
      </c>
      <c r="F260" s="246" t="e">
        <f t="shared" si="40"/>
        <v>#DIV/0!</v>
      </c>
      <c r="G260" s="247" t="e">
        <f t="shared" si="40"/>
        <v>#DIV/0!</v>
      </c>
    </row>
    <row r="261" spans="1:7" x14ac:dyDescent="0.2">
      <c r="A261" s="248" t="s">
        <v>234</v>
      </c>
      <c r="B261" s="223">
        <f t="shared" ref="B261:G261" si="41">B226</f>
        <v>0</v>
      </c>
      <c r="C261" s="223">
        <f t="shared" si="41"/>
        <v>0</v>
      </c>
      <c r="D261" s="249"/>
      <c r="E261" s="223">
        <f t="shared" si="41"/>
        <v>0</v>
      </c>
      <c r="F261" s="223">
        <f t="shared" si="41"/>
        <v>0</v>
      </c>
      <c r="G261" s="224">
        <f t="shared" si="41"/>
        <v>0</v>
      </c>
    </row>
    <row r="262" spans="1:7" x14ac:dyDescent="0.2">
      <c r="A262" s="248" t="s">
        <v>235</v>
      </c>
      <c r="B262" s="250"/>
      <c r="C262" s="250"/>
      <c r="D262" s="251"/>
      <c r="E262" s="194" t="e">
        <f>(E260+E261)/E120</f>
        <v>#DIV/0!</v>
      </c>
      <c r="F262" s="194" t="e">
        <f>(F260+F261)/F120</f>
        <v>#DIV/0!</v>
      </c>
      <c r="G262" s="200" t="e">
        <f>(G260+G261)/G120</f>
        <v>#DIV/0!</v>
      </c>
    </row>
    <row r="263" spans="1:7" x14ac:dyDescent="0.2">
      <c r="A263" s="252" t="s">
        <v>236</v>
      </c>
      <c r="B263" s="253"/>
      <c r="C263" s="253"/>
      <c r="D263" s="254">
        <f>D262*1.055</f>
        <v>0</v>
      </c>
      <c r="E263" s="254" t="e">
        <f>E262*1.055</f>
        <v>#DIV/0!</v>
      </c>
      <c r="F263" s="254" t="e">
        <f>F262*1.055</f>
        <v>#DIV/0!</v>
      </c>
      <c r="G263" s="255" t="e">
        <f>G262*1.055</f>
        <v>#DIV/0!</v>
      </c>
    </row>
    <row r="264" spans="1:7" x14ac:dyDescent="0.2">
      <c r="A264" s="244"/>
      <c r="B264" s="256"/>
      <c r="C264" s="256"/>
      <c r="D264" s="257"/>
      <c r="E264" s="257"/>
      <c r="F264" s="257"/>
      <c r="G264" s="257"/>
    </row>
    <row r="265" spans="1:7" x14ac:dyDescent="0.2">
      <c r="A265" s="244" t="s">
        <v>50</v>
      </c>
    </row>
    <row r="266" spans="1:7" x14ac:dyDescent="0.2">
      <c r="A266" s="245" t="s">
        <v>237</v>
      </c>
      <c r="B266" s="246"/>
      <c r="C266" s="246"/>
      <c r="D266" s="246">
        <f>D126*D125</f>
        <v>0</v>
      </c>
      <c r="E266" s="246">
        <f>E126*E125</f>
        <v>0</v>
      </c>
      <c r="F266" s="246">
        <f>F126*F125</f>
        <v>191717.63344783694</v>
      </c>
      <c r="G266" s="247">
        <f>G126*G125</f>
        <v>194564.63206190174</v>
      </c>
    </row>
    <row r="267" spans="1:7" x14ac:dyDescent="0.2">
      <c r="A267" s="248" t="s">
        <v>238</v>
      </c>
      <c r="B267" s="223"/>
      <c r="C267" s="223"/>
      <c r="D267" s="223" t="e">
        <f>D236</f>
        <v>#REF!</v>
      </c>
      <c r="E267" s="223" t="e">
        <f>E236</f>
        <v>#REF!</v>
      </c>
      <c r="F267" s="223" t="e">
        <f>F236</f>
        <v>#REF!</v>
      </c>
      <c r="G267" s="224" t="e">
        <f>G236</f>
        <v>#REF!</v>
      </c>
    </row>
    <row r="268" spans="1:7" x14ac:dyDescent="0.2">
      <c r="A268" s="248" t="s">
        <v>235</v>
      </c>
      <c r="B268" s="250"/>
      <c r="C268" s="250"/>
      <c r="D268" s="194"/>
      <c r="E268" s="194" t="e">
        <f>(E266+E267)/E281</f>
        <v>#REF!</v>
      </c>
      <c r="F268" s="194" t="e">
        <f>(F266+F267)/F281</f>
        <v>#REF!</v>
      </c>
      <c r="G268" s="194" t="e">
        <f>(G266+G267)/G281</f>
        <v>#REF!</v>
      </c>
    </row>
    <row r="269" spans="1:7" x14ac:dyDescent="0.2">
      <c r="A269" s="252" t="s">
        <v>236</v>
      </c>
      <c r="B269" s="253"/>
      <c r="C269" s="253"/>
      <c r="D269" s="254"/>
      <c r="E269" s="254" t="e">
        <f>E268*1.055</f>
        <v>#REF!</v>
      </c>
      <c r="F269" s="254" t="e">
        <f>F268*1.055</f>
        <v>#REF!</v>
      </c>
      <c r="G269" s="255" t="e">
        <f>G268*1.055</f>
        <v>#REF!</v>
      </c>
    </row>
    <row r="270" spans="1:7" x14ac:dyDescent="0.2">
      <c r="A270" s="244"/>
      <c r="B270" s="256"/>
      <c r="C270" s="256"/>
      <c r="D270" s="257"/>
      <c r="E270" s="257"/>
      <c r="F270" s="257"/>
      <c r="G270" s="257"/>
    </row>
    <row r="271" spans="1:7" x14ac:dyDescent="0.2">
      <c r="A271" s="244" t="s">
        <v>239</v>
      </c>
    </row>
    <row r="272" spans="1:7" x14ac:dyDescent="0.2">
      <c r="A272" s="245" t="s">
        <v>240</v>
      </c>
      <c r="B272" s="246"/>
      <c r="C272" s="246"/>
      <c r="D272" s="246">
        <f>D131*D130</f>
        <v>0</v>
      </c>
      <c r="E272" s="246">
        <f>E131*E130</f>
        <v>0</v>
      </c>
      <c r="F272" s="246">
        <f>F131*F130</f>
        <v>0</v>
      </c>
      <c r="G272" s="247">
        <f>G131*G130</f>
        <v>0</v>
      </c>
    </row>
    <row r="273" spans="1:7" x14ac:dyDescent="0.2">
      <c r="A273" s="248" t="s">
        <v>241</v>
      </c>
      <c r="B273" s="223"/>
      <c r="C273" s="223"/>
      <c r="D273" s="223" t="e">
        <f>D251</f>
        <v>#REF!</v>
      </c>
      <c r="E273" s="223" t="e">
        <f>E251</f>
        <v>#REF!</v>
      </c>
      <c r="F273" s="223" t="e">
        <f>F251</f>
        <v>#REF!</v>
      </c>
      <c r="G273" s="224" t="e">
        <f>G251</f>
        <v>#REF!</v>
      </c>
    </row>
    <row r="274" spans="1:7" x14ac:dyDescent="0.2">
      <c r="A274" s="248" t="s">
        <v>235</v>
      </c>
      <c r="B274" s="250"/>
      <c r="C274" s="250"/>
      <c r="D274" s="194"/>
      <c r="E274" s="194" t="e">
        <f>(E272+E273)/E287</f>
        <v>#REF!</v>
      </c>
      <c r="F274" s="194" t="e">
        <f>(F272+F273)/F287</f>
        <v>#REF!</v>
      </c>
      <c r="G274" s="194" t="e">
        <f>(G272+G273)/G287</f>
        <v>#REF!</v>
      </c>
    </row>
    <row r="275" spans="1:7" x14ac:dyDescent="0.2">
      <c r="A275" s="252" t="s">
        <v>236</v>
      </c>
      <c r="B275" s="253"/>
      <c r="C275" s="253"/>
      <c r="D275" s="254"/>
      <c r="E275" s="254" t="e">
        <f>E274*1.055</f>
        <v>#REF!</v>
      </c>
      <c r="F275" s="254" t="e">
        <f>F274*1.055</f>
        <v>#REF!</v>
      </c>
      <c r="G275" s="255" t="e">
        <f>G274*1.055</f>
        <v>#REF!</v>
      </c>
    </row>
    <row r="276" spans="1:7" x14ac:dyDescent="0.2">
      <c r="E276" s="212"/>
    </row>
    <row r="277" spans="1:7" ht="15" x14ac:dyDescent="0.2">
      <c r="A277" s="244" t="s">
        <v>242</v>
      </c>
      <c r="B277" s="93">
        <f t="shared" ref="B277:G277" si="42">B4</f>
        <v>2017</v>
      </c>
      <c r="C277" s="276">
        <f t="shared" si="42"/>
        <v>43646</v>
      </c>
      <c r="D277" s="276">
        <f t="shared" si="42"/>
        <v>44012</v>
      </c>
      <c r="E277" s="276">
        <f t="shared" si="42"/>
        <v>44377</v>
      </c>
      <c r="F277" s="276">
        <f t="shared" si="42"/>
        <v>44742</v>
      </c>
      <c r="G277" s="276">
        <f t="shared" si="42"/>
        <v>45107</v>
      </c>
    </row>
    <row r="278" spans="1:7" x14ac:dyDescent="0.2">
      <c r="A278" s="258" t="s">
        <v>243</v>
      </c>
      <c r="B278" s="259"/>
      <c r="C278" s="259">
        <f>C17</f>
        <v>1400</v>
      </c>
      <c r="D278" s="259">
        <f>D17</f>
        <v>4200</v>
      </c>
      <c r="E278" s="259">
        <f>E17</f>
        <v>5600</v>
      </c>
      <c r="F278" s="259">
        <f>F17</f>
        <v>5600</v>
      </c>
      <c r="G278" s="259">
        <f>G17</f>
        <v>5600</v>
      </c>
    </row>
    <row r="279" spans="1:7" x14ac:dyDescent="0.2">
      <c r="A279" s="260" t="s">
        <v>244</v>
      </c>
      <c r="B279" s="261" t="e">
        <f t="shared" ref="B279:G279" si="43">B113</f>
        <v>#REF!</v>
      </c>
      <c r="C279" s="261">
        <f t="shared" si="43"/>
        <v>0</v>
      </c>
      <c r="D279" s="261">
        <f t="shared" si="43"/>
        <v>0</v>
      </c>
      <c r="E279" s="261">
        <f t="shared" si="43"/>
        <v>0</v>
      </c>
      <c r="F279" s="261">
        <f t="shared" si="43"/>
        <v>1100</v>
      </c>
      <c r="G279" s="261">
        <f t="shared" si="43"/>
        <v>1100</v>
      </c>
    </row>
    <row r="280" spans="1:7" x14ac:dyDescent="0.2">
      <c r="A280" s="260" t="s">
        <v>245</v>
      </c>
      <c r="B280" s="261">
        <f t="shared" ref="B280:G280" si="44">B120</f>
        <v>0</v>
      </c>
      <c r="C280" s="261">
        <f t="shared" si="44"/>
        <v>0</v>
      </c>
      <c r="D280" s="261">
        <f t="shared" si="44"/>
        <v>0</v>
      </c>
      <c r="E280" s="261">
        <f t="shared" si="44"/>
        <v>0</v>
      </c>
      <c r="F280" s="261">
        <f t="shared" si="44"/>
        <v>0</v>
      </c>
      <c r="G280" s="262">
        <f t="shared" si="44"/>
        <v>0</v>
      </c>
    </row>
    <row r="281" spans="1:7" x14ac:dyDescent="0.2">
      <c r="A281" s="260" t="s">
        <v>246</v>
      </c>
      <c r="B281" s="261">
        <f t="shared" ref="B281:G281" si="45">B126</f>
        <v>0</v>
      </c>
      <c r="C281" s="261">
        <f t="shared" si="45"/>
        <v>0</v>
      </c>
      <c r="D281" s="261">
        <f t="shared" si="45"/>
        <v>0</v>
      </c>
      <c r="E281" s="261">
        <f t="shared" si="45"/>
        <v>0</v>
      </c>
      <c r="F281" s="261">
        <f t="shared" si="45"/>
        <v>3930</v>
      </c>
      <c r="G281" s="262">
        <f t="shared" si="45"/>
        <v>3930</v>
      </c>
    </row>
    <row r="282" spans="1:7" x14ac:dyDescent="0.2">
      <c r="A282" s="260" t="s">
        <v>247</v>
      </c>
      <c r="B282" s="261">
        <f t="shared" ref="B282:G282" si="46">B132</f>
        <v>0</v>
      </c>
      <c r="C282" s="261">
        <f t="shared" si="46"/>
        <v>0</v>
      </c>
      <c r="D282" s="261">
        <f t="shared" si="46"/>
        <v>0</v>
      </c>
      <c r="E282" s="261">
        <f t="shared" si="46"/>
        <v>0</v>
      </c>
      <c r="F282" s="261">
        <f t="shared" si="46"/>
        <v>0</v>
      </c>
      <c r="G282" s="261">
        <f t="shared" si="46"/>
        <v>0</v>
      </c>
    </row>
    <row r="283" spans="1:7" x14ac:dyDescent="0.2">
      <c r="A283" s="260" t="s">
        <v>248</v>
      </c>
      <c r="B283" s="261" t="e">
        <f>B281+B279+B280</f>
        <v>#REF!</v>
      </c>
      <c r="C283" s="261">
        <f>C281+C279+C280+C278</f>
        <v>1400</v>
      </c>
      <c r="D283" s="261">
        <f>D281+D279+D280+D278</f>
        <v>4200</v>
      </c>
      <c r="E283" s="261">
        <f>E281+E279+E280+E278</f>
        <v>5600</v>
      </c>
      <c r="F283" s="261">
        <f>F281+F279+F280+F278</f>
        <v>10630</v>
      </c>
      <c r="G283" s="261">
        <f>G281+G279+G280+G278</f>
        <v>10630</v>
      </c>
    </row>
    <row r="284" spans="1:7" x14ac:dyDescent="0.2">
      <c r="A284" s="263"/>
      <c r="B284" s="264"/>
      <c r="C284" s="264"/>
      <c r="D284" s="264"/>
      <c r="E284" s="264"/>
      <c r="F284" s="264"/>
      <c r="G284" s="265"/>
    </row>
    <row r="285" spans="1:7" x14ac:dyDescent="0.2">
      <c r="A285" s="266" t="s">
        <v>249</v>
      </c>
      <c r="B285" s="267"/>
      <c r="C285" s="267">
        <f>C278/C283</f>
        <v>1</v>
      </c>
      <c r="D285" s="267">
        <f>D278/D283</f>
        <v>1</v>
      </c>
      <c r="E285" s="267">
        <f>E278/E283</f>
        <v>1</v>
      </c>
      <c r="F285" s="267">
        <f>F278/F283</f>
        <v>0.52681091251175916</v>
      </c>
      <c r="G285" s="267">
        <f>G278/G283</f>
        <v>0.52681091251175916</v>
      </c>
    </row>
    <row r="286" spans="1:7" x14ac:dyDescent="0.2">
      <c r="A286" s="266" t="s">
        <v>250</v>
      </c>
      <c r="B286" s="267" t="e">
        <f t="shared" ref="B286:G286" si="47">B279/B283</f>
        <v>#REF!</v>
      </c>
      <c r="C286" s="267">
        <f t="shared" si="47"/>
        <v>0</v>
      </c>
      <c r="D286" s="267">
        <f t="shared" si="47"/>
        <v>0</v>
      </c>
      <c r="E286" s="267">
        <f t="shared" si="47"/>
        <v>0</v>
      </c>
      <c r="F286" s="267">
        <f t="shared" si="47"/>
        <v>0.10348071495766697</v>
      </c>
      <c r="G286" s="268">
        <f t="shared" si="47"/>
        <v>0.10348071495766697</v>
      </c>
    </row>
    <row r="287" spans="1:7" x14ac:dyDescent="0.2">
      <c r="A287" s="260" t="s">
        <v>245</v>
      </c>
      <c r="B287" s="267" t="e">
        <f t="shared" ref="B287:G287" si="48">B280/B283</f>
        <v>#REF!</v>
      </c>
      <c r="C287" s="267">
        <f t="shared" si="48"/>
        <v>0</v>
      </c>
      <c r="D287" s="267">
        <f t="shared" si="48"/>
        <v>0</v>
      </c>
      <c r="E287" s="267">
        <f t="shared" si="48"/>
        <v>0</v>
      </c>
      <c r="F287" s="267">
        <f t="shared" si="48"/>
        <v>0</v>
      </c>
      <c r="G287" s="268">
        <f t="shared" si="48"/>
        <v>0</v>
      </c>
    </row>
    <row r="288" spans="1:7" x14ac:dyDescent="0.2">
      <c r="A288" s="260" t="s">
        <v>246</v>
      </c>
      <c r="B288" s="267" t="e">
        <f t="shared" ref="B288:G288" si="49">B281/B283</f>
        <v>#REF!</v>
      </c>
      <c r="C288" s="267">
        <f t="shared" si="49"/>
        <v>0</v>
      </c>
      <c r="D288" s="267">
        <f t="shared" si="49"/>
        <v>0</v>
      </c>
      <c r="E288" s="267">
        <f t="shared" si="49"/>
        <v>0</v>
      </c>
      <c r="F288" s="267">
        <f t="shared" si="49"/>
        <v>0.36970837253057387</v>
      </c>
      <c r="G288" s="268">
        <f t="shared" si="49"/>
        <v>0.36970837253057387</v>
      </c>
    </row>
    <row r="289" spans="1:7" x14ac:dyDescent="0.2">
      <c r="A289" s="260" t="s">
        <v>247</v>
      </c>
      <c r="B289" s="267" t="e">
        <f t="shared" ref="B289:G289" si="50">B282/B283</f>
        <v>#REF!</v>
      </c>
      <c r="C289" s="267">
        <f t="shared" si="50"/>
        <v>0</v>
      </c>
      <c r="D289" s="267">
        <f t="shared" si="50"/>
        <v>0</v>
      </c>
      <c r="E289" s="267">
        <f t="shared" si="50"/>
        <v>0</v>
      </c>
      <c r="F289" s="267">
        <f t="shared" si="50"/>
        <v>0</v>
      </c>
      <c r="G289" s="267">
        <f t="shared" si="50"/>
        <v>0</v>
      </c>
    </row>
    <row r="290" spans="1:7" x14ac:dyDescent="0.2">
      <c r="A290" s="269"/>
      <c r="B290" s="270"/>
      <c r="C290" s="270"/>
      <c r="D290" s="270"/>
      <c r="E290" s="270"/>
      <c r="F290" s="270"/>
      <c r="G290" s="270"/>
    </row>
    <row r="291" spans="1:7" x14ac:dyDescent="0.2">
      <c r="E291" s="271"/>
      <c r="F291" s="271"/>
      <c r="G291" s="271"/>
    </row>
    <row r="292" spans="1:7" x14ac:dyDescent="0.2">
      <c r="A292" s="128" t="s">
        <v>251</v>
      </c>
      <c r="B292" s="206"/>
      <c r="C292" s="206">
        <f>C105</f>
        <v>50.434622638998142</v>
      </c>
      <c r="D292" s="206">
        <f>D105</f>
        <v>43.977219225037473</v>
      </c>
      <c r="E292" s="206">
        <f>E105</f>
        <v>44.713683777542236</v>
      </c>
      <c r="F292" s="206">
        <f>F105</f>
        <v>46.626220672467007</v>
      </c>
      <c r="G292" s="206">
        <f>G105</f>
        <v>48.019202444794352</v>
      </c>
    </row>
    <row r="293" spans="1:7" x14ac:dyDescent="0.2">
      <c r="E293" s="271"/>
      <c r="F293" s="271"/>
      <c r="G293" s="271"/>
    </row>
    <row r="294" spans="1:7" x14ac:dyDescent="0.2">
      <c r="A294" s="128" t="s">
        <v>252</v>
      </c>
      <c r="B294" s="206">
        <f t="shared" ref="B294:G294" si="51">B112</f>
        <v>0</v>
      </c>
      <c r="C294" s="206" t="e">
        <f t="shared" si="51"/>
        <v>#DIV/0!</v>
      </c>
      <c r="D294" s="206" t="e">
        <f t="shared" si="51"/>
        <v>#DIV/0!</v>
      </c>
      <c r="E294" s="206" t="e">
        <f t="shared" si="51"/>
        <v>#DIV/0!</v>
      </c>
      <c r="F294" s="206">
        <f t="shared" si="51"/>
        <v>47.854692697283362</v>
      </c>
      <c r="G294" s="206">
        <f t="shared" si="51"/>
        <v>48.427174372891223</v>
      </c>
    </row>
    <row r="295" spans="1:7" x14ac:dyDescent="0.2">
      <c r="A295" s="128" t="s">
        <v>253</v>
      </c>
      <c r="B295" s="206" t="e">
        <f t="shared" ref="B295:G295" si="52">B212</f>
        <v>#REF!</v>
      </c>
      <c r="C295" s="206" t="e">
        <f t="shared" si="52"/>
        <v>#DIV/0!</v>
      </c>
      <c r="D295" s="206" t="e">
        <f t="shared" si="52"/>
        <v>#DIV/0!</v>
      </c>
      <c r="E295" s="206" t="e">
        <f t="shared" si="52"/>
        <v>#DIV/0!</v>
      </c>
      <c r="F295" s="206">
        <f t="shared" si="52"/>
        <v>28.967819193438334</v>
      </c>
      <c r="G295" s="206">
        <f t="shared" si="52"/>
        <v>30.339352801082001</v>
      </c>
    </row>
    <row r="296" spans="1:7" x14ac:dyDescent="0.2">
      <c r="A296" s="218" t="s">
        <v>248</v>
      </c>
      <c r="B296" s="219" t="e">
        <f t="shared" ref="B296:G296" si="53">B295+B294</f>
        <v>#REF!</v>
      </c>
      <c r="C296" s="219" t="e">
        <f t="shared" si="53"/>
        <v>#DIV/0!</v>
      </c>
      <c r="D296" s="219" t="e">
        <f t="shared" si="53"/>
        <v>#DIV/0!</v>
      </c>
      <c r="E296" s="219" t="e">
        <f t="shared" si="53"/>
        <v>#DIV/0!</v>
      </c>
      <c r="F296" s="219">
        <f t="shared" si="53"/>
        <v>76.8225118907217</v>
      </c>
      <c r="G296" s="219">
        <f t="shared" si="53"/>
        <v>78.76652717397323</v>
      </c>
    </row>
    <row r="299" spans="1:7" x14ac:dyDescent="0.2">
      <c r="A299" s="272" t="s">
        <v>254</v>
      </c>
      <c r="B299" s="273">
        <v>1</v>
      </c>
    </row>
    <row r="300" spans="1:7" x14ac:dyDescent="0.2">
      <c r="A300" s="42" t="s">
        <v>113</v>
      </c>
    </row>
  </sheetData>
  <mergeCells count="1">
    <mergeCell ref="A1:N1"/>
  </mergeCells>
  <pageMargins left="0.7" right="0.7" top="0.75" bottom="0.75" header="0.3" footer="0.3"/>
  <pageSetup paperSize="9" scale="3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56"/>
  <sheetViews>
    <sheetView showGridLines="0" zoomScale="80" zoomScaleNormal="80" zoomScalePageLayoutView="70" workbookViewId="0">
      <pane ySplit="11" topLeftCell="A12" activePane="bottomLeft" state="frozen"/>
      <selection pane="bottomLeft" activeCell="C70" sqref="C70"/>
    </sheetView>
  </sheetViews>
  <sheetFormatPr baseColWidth="10" defaultColWidth="9.140625" defaultRowHeight="15" outlineLevelRow="1" x14ac:dyDescent="0.25"/>
  <cols>
    <col min="1" max="1" width="59.5703125" style="289" customWidth="1"/>
    <col min="2" max="2" width="15.140625" style="289" hidden="1" customWidth="1"/>
    <col min="3" max="4" width="15.140625" style="289" customWidth="1"/>
    <col min="5" max="5" width="15" style="289" customWidth="1"/>
    <col min="6" max="6" width="15" style="389" hidden="1" customWidth="1"/>
    <col min="7" max="7" width="15" style="375" hidden="1" customWidth="1"/>
    <col min="8" max="8" width="54.85546875" style="289" customWidth="1"/>
    <col min="9" max="9" width="52.140625" style="288" bestFit="1" customWidth="1"/>
    <col min="10" max="16384" width="9.140625" style="289"/>
  </cols>
  <sheetData>
    <row r="1" spans="1:9" ht="17.100000000000001" customHeight="1" x14ac:dyDescent="0.2">
      <c r="A1" s="553" t="s">
        <v>390</v>
      </c>
      <c r="B1" s="553"/>
      <c r="C1" s="553"/>
      <c r="D1" s="553"/>
      <c r="E1" s="553"/>
      <c r="F1" s="553"/>
      <c r="G1" s="553"/>
      <c r="H1" s="553"/>
    </row>
    <row r="2" spans="1:9" ht="14.1" hidden="1" customHeight="1" x14ac:dyDescent="0.2">
      <c r="A2" s="290" t="s">
        <v>279</v>
      </c>
      <c r="B2" s="291"/>
      <c r="C2" s="291" t="s">
        <v>280</v>
      </c>
      <c r="D2" s="291"/>
      <c r="E2" s="291"/>
      <c r="F2" s="292"/>
      <c r="G2" s="291"/>
      <c r="H2" s="291"/>
    </row>
    <row r="3" spans="1:9" ht="14.1" hidden="1" customHeight="1" x14ac:dyDescent="0.2">
      <c r="A3" s="290" t="s">
        <v>281</v>
      </c>
      <c r="B3" s="291"/>
      <c r="C3" s="291" t="s">
        <v>282</v>
      </c>
      <c r="D3" s="291"/>
      <c r="E3" s="291"/>
      <c r="F3" s="292"/>
      <c r="G3" s="291"/>
      <c r="H3" s="291"/>
    </row>
    <row r="4" spans="1:9" ht="14.1" hidden="1" customHeight="1" x14ac:dyDescent="0.2">
      <c r="A4" s="290" t="s">
        <v>283</v>
      </c>
      <c r="B4" s="291"/>
      <c r="C4" s="291" t="s">
        <v>284</v>
      </c>
      <c r="D4" s="291"/>
      <c r="E4" s="291"/>
      <c r="F4" s="292"/>
      <c r="G4" s="293"/>
      <c r="H4" s="291"/>
    </row>
    <row r="5" spans="1:9" ht="14.1" hidden="1" customHeight="1" x14ac:dyDescent="0.2">
      <c r="A5" s="290" t="s">
        <v>285</v>
      </c>
      <c r="B5" s="291"/>
      <c r="C5" s="291" t="s">
        <v>286</v>
      </c>
      <c r="D5" s="291"/>
      <c r="E5" s="291"/>
      <c r="F5" s="292"/>
      <c r="G5" s="293"/>
      <c r="H5" s="291"/>
    </row>
    <row r="6" spans="1:9" ht="14.1" hidden="1" customHeight="1" x14ac:dyDescent="0.2">
      <c r="A6" s="290" t="s">
        <v>287</v>
      </c>
      <c r="B6" s="295"/>
      <c r="C6" s="294">
        <v>43496</v>
      </c>
      <c r="D6" s="295"/>
      <c r="E6" s="295"/>
      <c r="F6" s="296"/>
      <c r="G6" s="293"/>
      <c r="H6" s="295"/>
    </row>
    <row r="7" spans="1:9" ht="14.1" customHeight="1" x14ac:dyDescent="0.2">
      <c r="A7" s="290"/>
      <c r="B7" s="291"/>
      <c r="C7" s="291"/>
      <c r="D7" s="291"/>
      <c r="E7" s="291"/>
      <c r="F7" s="292"/>
      <c r="G7" s="293"/>
      <c r="H7" s="291"/>
    </row>
    <row r="8" spans="1:9" s="303" customFormat="1" ht="14.1" customHeight="1" thickBot="1" x14ac:dyDescent="0.25">
      <c r="A8" s="297"/>
      <c r="B8" s="298" t="s">
        <v>288</v>
      </c>
      <c r="C8" s="298" t="s">
        <v>289</v>
      </c>
      <c r="D8" s="298" t="s">
        <v>290</v>
      </c>
      <c r="E8" s="298" t="s">
        <v>291</v>
      </c>
      <c r="F8" s="299" t="s">
        <v>292</v>
      </c>
      <c r="G8" s="300"/>
      <c r="H8" s="301"/>
      <c r="I8" s="302"/>
    </row>
    <row r="9" spans="1:9" ht="26.25" thickBot="1" x14ac:dyDescent="0.25">
      <c r="A9" s="399"/>
      <c r="B9" s="304" t="s">
        <v>293</v>
      </c>
      <c r="C9" s="304" t="s">
        <v>294</v>
      </c>
      <c r="D9" s="305" t="s">
        <v>295</v>
      </c>
      <c r="E9" s="305" t="s">
        <v>296</v>
      </c>
      <c r="F9" s="304" t="s">
        <v>293</v>
      </c>
      <c r="G9" s="306" t="s">
        <v>297</v>
      </c>
      <c r="H9" s="307" t="s">
        <v>298</v>
      </c>
      <c r="I9" s="308" t="s">
        <v>299</v>
      </c>
    </row>
    <row r="10" spans="1:9" ht="13.5" thickBot="1" x14ac:dyDescent="0.25">
      <c r="A10" s="400"/>
      <c r="B10" s="309" t="s">
        <v>300</v>
      </c>
      <c r="C10" s="309"/>
      <c r="D10" s="310"/>
      <c r="E10" s="310"/>
      <c r="F10" s="309" t="s">
        <v>300</v>
      </c>
      <c r="G10" s="311" t="s">
        <v>300</v>
      </c>
      <c r="H10" s="307"/>
      <c r="I10" s="312"/>
    </row>
    <row r="11" spans="1:9" ht="13.5" thickBot="1" x14ac:dyDescent="0.25">
      <c r="A11" s="401"/>
      <c r="B11" s="313">
        <v>43465</v>
      </c>
      <c r="C11" s="313"/>
      <c r="D11" s="314"/>
      <c r="E11" s="314"/>
      <c r="F11" s="313">
        <v>43496</v>
      </c>
      <c r="G11" s="315">
        <v>43496</v>
      </c>
      <c r="H11" s="307"/>
      <c r="I11" s="312"/>
    </row>
    <row r="12" spans="1:9" ht="24" customHeight="1" thickBot="1" x14ac:dyDescent="0.25">
      <c r="A12" s="402" t="s">
        <v>301</v>
      </c>
      <c r="B12" s="316">
        <f>B13+B18+B31+B34+B43+B61</f>
        <v>0</v>
      </c>
      <c r="C12" s="317">
        <f>C13+C18+C31+C34+C43+C61</f>
        <v>93480.984474025972</v>
      </c>
      <c r="D12" s="317">
        <f>D13+D18+D31+D34+D43+D61</f>
        <v>242288.84341558442</v>
      </c>
      <c r="E12" s="317">
        <f>E13+E18+E31+E34+E43+E61</f>
        <v>286906.87679058441</v>
      </c>
      <c r="F12" s="317">
        <f>F13+F18+F31+F34+F43+F61</f>
        <v>50030.490469155848</v>
      </c>
      <c r="G12" s="318" t="e">
        <f>F12/#REF!</f>
        <v>#REF!</v>
      </c>
      <c r="H12" s="319"/>
    </row>
    <row r="13" spans="1:9" ht="24.75" customHeight="1" x14ac:dyDescent="0.2">
      <c r="A13" s="403" t="s">
        <v>8</v>
      </c>
      <c r="B13" s="320">
        <f>SUM(B14:B14)</f>
        <v>0</v>
      </c>
      <c r="C13" s="320">
        <f>SUM(C14:C17)</f>
        <v>25266.984474025972</v>
      </c>
      <c r="D13" s="423">
        <f>SUM(D14:D17)</f>
        <v>74128.618415584409</v>
      </c>
      <c r="E13" s="423">
        <f>SUM(E14:E17)</f>
        <v>83733.318415584421</v>
      </c>
      <c r="F13" s="320">
        <f>SUM(F14:F14)</f>
        <v>46030.490469155848</v>
      </c>
      <c r="G13" s="321" t="e">
        <f>F13/#REF!</f>
        <v>#REF!</v>
      </c>
      <c r="H13" s="322"/>
    </row>
    <row r="14" spans="1:9" s="428" customFormat="1" ht="12.75" outlineLevel="1" x14ac:dyDescent="0.25">
      <c r="A14" s="424" t="s">
        <v>417</v>
      </c>
      <c r="B14" s="425"/>
      <c r="C14" s="425">
        <f>'F1'!C109+'F1'!C110</f>
        <v>4792.3618441558438</v>
      </c>
      <c r="D14" s="426">
        <f>'F1'!D109+'F1'!D110</f>
        <v>19169.447376623375</v>
      </c>
      <c r="E14" s="426">
        <f>'F1'!E109+'F1'!E110</f>
        <v>28774.147376623376</v>
      </c>
      <c r="F14" s="425">
        <f>'F1'!F109+'F1'!F110</f>
        <v>46030.490469155848</v>
      </c>
      <c r="G14" s="425">
        <f>'F1'!G109+'F1'!G110</f>
        <v>51935.052560064934</v>
      </c>
      <c r="H14" s="427" t="s">
        <v>419</v>
      </c>
      <c r="I14" s="327"/>
    </row>
    <row r="15" spans="1:9" ht="12.75" outlineLevel="1" x14ac:dyDescent="0.2">
      <c r="A15" s="404" t="s">
        <v>416</v>
      </c>
      <c r="B15" s="323"/>
      <c r="C15" s="323">
        <f>'F1'!C111</f>
        <v>6204.4732792207797</v>
      </c>
      <c r="D15" s="336">
        <f>'F1'!D111</f>
        <v>24817.893116883119</v>
      </c>
      <c r="E15" s="336">
        <f>'F1'!E111</f>
        <v>24817.893116883119</v>
      </c>
      <c r="F15" s="323">
        <f>'F1'!F111</f>
        <v>37226.839675324678</v>
      </c>
      <c r="G15" s="323">
        <f>'F1'!G111</f>
        <v>44863.114480519485</v>
      </c>
      <c r="H15" s="419" t="s">
        <v>418</v>
      </c>
      <c r="I15" s="327"/>
    </row>
    <row r="16" spans="1:9" ht="12.75" outlineLevel="1" x14ac:dyDescent="0.2">
      <c r="A16" s="404" t="s">
        <v>513</v>
      </c>
      <c r="B16" s="323"/>
      <c r="C16" s="323">
        <v>4851</v>
      </c>
      <c r="D16" s="336"/>
      <c r="E16" s="336"/>
      <c r="F16" s="323"/>
      <c r="G16" s="323"/>
      <c r="H16" s="419"/>
      <c r="I16" s="327"/>
    </row>
    <row r="17" spans="1:9" ht="25.5" outlineLevel="1" x14ac:dyDescent="0.2">
      <c r="A17" s="404" t="s">
        <v>410</v>
      </c>
      <c r="B17" s="323"/>
      <c r="C17" s="323">
        <f>'F1'!C128</f>
        <v>9419.1493506493498</v>
      </c>
      <c r="D17" s="336">
        <f>'F1'!D128</f>
        <v>30141.277922077927</v>
      </c>
      <c r="E17" s="336">
        <f>'F1'!E128</f>
        <v>30141.277922077927</v>
      </c>
      <c r="F17" s="323"/>
      <c r="G17" s="325"/>
      <c r="H17" s="419" t="s">
        <v>440</v>
      </c>
      <c r="I17" s="327"/>
    </row>
    <row r="18" spans="1:9" ht="24.75" customHeight="1" x14ac:dyDescent="0.2">
      <c r="A18" s="403" t="s">
        <v>302</v>
      </c>
      <c r="B18" s="328">
        <f>SUM(B19:B30)</f>
        <v>0</v>
      </c>
      <c r="C18" s="328">
        <f>SUM(C19:C30)</f>
        <v>5554</v>
      </c>
      <c r="D18" s="329">
        <f>SUM(D19:D30)</f>
        <v>7014.2250000000004</v>
      </c>
      <c r="E18" s="329">
        <f>SUM(E19:E30)</f>
        <v>12321.478374999999</v>
      </c>
      <c r="F18" s="328">
        <f>SUM(F19:F30)</f>
        <v>4000</v>
      </c>
      <c r="G18" s="330" t="e">
        <f>F18/#REF!</f>
        <v>#REF!</v>
      </c>
      <c r="H18" s="331"/>
    </row>
    <row r="19" spans="1:9" ht="15" customHeight="1" outlineLevel="1" x14ac:dyDescent="0.2">
      <c r="A19" s="405" t="s">
        <v>303</v>
      </c>
      <c r="B19" s="332"/>
      <c r="C19" s="323">
        <v>200</v>
      </c>
      <c r="D19" s="336">
        <v>500</v>
      </c>
      <c r="E19" s="336">
        <v>500</v>
      </c>
      <c r="F19" s="323"/>
      <c r="G19" s="325" t="e">
        <f>F19/#REF!</f>
        <v>#REF!</v>
      </c>
      <c r="H19" s="333"/>
      <c r="I19" s="334"/>
    </row>
    <row r="20" spans="1:9" ht="15" customHeight="1" outlineLevel="1" x14ac:dyDescent="0.2">
      <c r="A20" s="405" t="s">
        <v>304</v>
      </c>
      <c r="B20" s="332"/>
      <c r="C20" s="335"/>
      <c r="D20" s="336"/>
      <c r="E20" s="336"/>
      <c r="F20" s="335"/>
      <c r="G20" s="325" t="e">
        <f>F20/#REF!</f>
        <v>#REF!</v>
      </c>
      <c r="H20" s="331"/>
    </row>
    <row r="21" spans="1:9" ht="15" customHeight="1" outlineLevel="1" x14ac:dyDescent="0.2">
      <c r="A21" s="405" t="s">
        <v>305</v>
      </c>
      <c r="B21" s="332"/>
      <c r="C21" s="335">
        <v>500</v>
      </c>
      <c r="D21" s="324">
        <f>'F4'!D192</f>
        <v>1120</v>
      </c>
      <c r="E21" s="324">
        <f>'F4'!E192</f>
        <v>2396.8000000000002</v>
      </c>
      <c r="F21" s="323"/>
      <c r="G21" s="325" t="e">
        <f>F21/#REF!</f>
        <v>#REF!</v>
      </c>
      <c r="H21" s="331"/>
    </row>
    <row r="22" spans="1:9" ht="15" customHeight="1" outlineLevel="1" x14ac:dyDescent="0.2">
      <c r="A22" s="405" t="s">
        <v>306</v>
      </c>
      <c r="B22" s="332"/>
      <c r="C22" s="335">
        <f>'F4'!C190-C19</f>
        <v>1775</v>
      </c>
      <c r="D22" s="324">
        <f>'F4'!D190-D19</f>
        <v>1100</v>
      </c>
      <c r="E22" s="324">
        <f>'F4'!E190-E19</f>
        <v>1100</v>
      </c>
      <c r="F22" s="335"/>
      <c r="G22" s="325" t="e">
        <f>F22/#REF!</f>
        <v>#REF!</v>
      </c>
      <c r="H22" s="337"/>
    </row>
    <row r="23" spans="1:9" ht="15" customHeight="1" outlineLevel="1" x14ac:dyDescent="0.2">
      <c r="A23" s="405" t="s">
        <v>307</v>
      </c>
      <c r="B23" s="332"/>
      <c r="C23" s="335"/>
      <c r="D23" s="336"/>
      <c r="E23" s="336"/>
      <c r="F23" s="335"/>
      <c r="G23" s="325" t="e">
        <f>F23/#REF!</f>
        <v>#REF!</v>
      </c>
      <c r="H23" s="331"/>
    </row>
    <row r="24" spans="1:9" ht="15" customHeight="1" outlineLevel="1" x14ac:dyDescent="0.2">
      <c r="A24" s="405" t="s">
        <v>308</v>
      </c>
      <c r="B24" s="332"/>
      <c r="C24" s="335">
        <f>'F4'!C191</f>
        <v>0</v>
      </c>
      <c r="D24" s="336"/>
      <c r="E24" s="336"/>
      <c r="F24" s="323">
        <f>'F4'!F191</f>
        <v>4000</v>
      </c>
      <c r="G24" s="323">
        <f>'F4'!G191</f>
        <v>4000</v>
      </c>
      <c r="H24" s="326"/>
    </row>
    <row r="25" spans="1:9" ht="15" customHeight="1" outlineLevel="1" x14ac:dyDescent="0.2">
      <c r="A25" s="405" t="s">
        <v>514</v>
      </c>
      <c r="B25" s="332"/>
      <c r="C25" s="335">
        <v>1000</v>
      </c>
      <c r="D25" s="336">
        <v>2000</v>
      </c>
      <c r="E25" s="336">
        <v>4000</v>
      </c>
      <c r="F25" s="323"/>
      <c r="G25" s="323"/>
      <c r="H25" s="326"/>
    </row>
    <row r="26" spans="1:9" ht="15" customHeight="1" outlineLevel="1" x14ac:dyDescent="0.2">
      <c r="A26" s="405" t="s">
        <v>309</v>
      </c>
      <c r="B26" s="332"/>
      <c r="C26" s="390">
        <f>'F4'!C193</f>
        <v>1015</v>
      </c>
      <c r="D26" s="324">
        <f>'F4'!D193</f>
        <v>2030.2249999999999</v>
      </c>
      <c r="E26" s="324">
        <f>'F4'!E193</f>
        <v>4060.6783749999995</v>
      </c>
      <c r="F26" s="323"/>
      <c r="G26" s="325" t="e">
        <f>F26/#REF!</f>
        <v>#REF!</v>
      </c>
      <c r="H26" s="333"/>
    </row>
    <row r="27" spans="1:9" ht="15" customHeight="1" outlineLevel="1" x14ac:dyDescent="0.2">
      <c r="A27" s="405" t="s">
        <v>310</v>
      </c>
      <c r="B27" s="332"/>
      <c r="C27" s="323">
        <v>300</v>
      </c>
      <c r="D27" s="324"/>
      <c r="E27" s="324"/>
      <c r="F27" s="323"/>
      <c r="G27" s="325" t="e">
        <f>F27/#REF!</f>
        <v>#REF!</v>
      </c>
      <c r="H27" s="333"/>
    </row>
    <row r="28" spans="1:9" ht="15" customHeight="1" outlineLevel="1" x14ac:dyDescent="0.2">
      <c r="A28" s="405" t="s">
        <v>311</v>
      </c>
      <c r="B28" s="332"/>
      <c r="C28" s="323">
        <v>500</v>
      </c>
      <c r="D28" s="324"/>
      <c r="E28" s="324"/>
      <c r="F28" s="323"/>
      <c r="G28" s="325" t="e">
        <f>F28/#REF!</f>
        <v>#REF!</v>
      </c>
      <c r="H28" s="331"/>
    </row>
    <row r="29" spans="1:9" ht="15" customHeight="1" outlineLevel="1" x14ac:dyDescent="0.2">
      <c r="A29" s="405" t="s">
        <v>312</v>
      </c>
      <c r="B29" s="332"/>
      <c r="C29" s="323"/>
      <c r="D29" s="324"/>
      <c r="E29" s="324"/>
      <c r="F29" s="323"/>
      <c r="G29" s="325" t="e">
        <f>F29/#REF!</f>
        <v>#REF!</v>
      </c>
      <c r="H29" s="331"/>
    </row>
    <row r="30" spans="1:9" ht="15" customHeight="1" outlineLevel="1" x14ac:dyDescent="0.2">
      <c r="A30" s="405" t="s">
        <v>313</v>
      </c>
      <c r="B30" s="332"/>
      <c r="C30" s="323">
        <v>264</v>
      </c>
      <c r="D30" s="324">
        <v>264</v>
      </c>
      <c r="E30" s="324">
        <v>264</v>
      </c>
      <c r="F30" s="323"/>
      <c r="G30" s="325" t="e">
        <f>F30/#REF!</f>
        <v>#REF!</v>
      </c>
      <c r="H30" s="333"/>
    </row>
    <row r="31" spans="1:9" ht="24.75" customHeight="1" collapsed="1" x14ac:dyDescent="0.2">
      <c r="A31" s="403" t="s">
        <v>314</v>
      </c>
      <c r="B31" s="328">
        <f>SUM(B32:B33)</f>
        <v>0</v>
      </c>
      <c r="C31" s="328">
        <f>SUM(C32:C33)</f>
        <v>0</v>
      </c>
      <c r="D31" s="329">
        <f>SUM(D32:D33)</f>
        <v>0</v>
      </c>
      <c r="E31" s="329">
        <f>SUM(E32:E33)</f>
        <v>0</v>
      </c>
      <c r="F31" s="328">
        <f>SUM(F32:F33)</f>
        <v>0</v>
      </c>
      <c r="G31" s="330" t="e">
        <f>F31/#REF!</f>
        <v>#REF!</v>
      </c>
      <c r="H31" s="331"/>
    </row>
    <row r="32" spans="1:9" ht="15" hidden="1" customHeight="1" outlineLevel="1" x14ac:dyDescent="0.2">
      <c r="A32" s="405" t="s">
        <v>315</v>
      </c>
      <c r="B32" s="332"/>
      <c r="C32" s="323"/>
      <c r="D32" s="324"/>
      <c r="E32" s="324"/>
      <c r="F32" s="323"/>
      <c r="G32" s="325" t="e">
        <f>F32/#REF!</f>
        <v>#REF!</v>
      </c>
      <c r="H32" s="333"/>
    </row>
    <row r="33" spans="1:8" ht="15" hidden="1" customHeight="1" outlineLevel="1" x14ac:dyDescent="0.2">
      <c r="A33" s="405" t="s">
        <v>316</v>
      </c>
      <c r="B33" s="332"/>
      <c r="C33" s="323"/>
      <c r="D33" s="324"/>
      <c r="E33" s="324"/>
      <c r="F33" s="323"/>
      <c r="G33" s="325"/>
      <c r="H33" s="333"/>
    </row>
    <row r="34" spans="1:8" ht="24.75" customHeight="1" x14ac:dyDescent="0.2">
      <c r="A34" s="403" t="s">
        <v>317</v>
      </c>
      <c r="B34" s="328">
        <f t="shared" ref="B34:F34" si="0">SUM(B35:B42)</f>
        <v>0</v>
      </c>
      <c r="C34" s="328">
        <f>SUM(C36:C42)</f>
        <v>18510</v>
      </c>
      <c r="D34" s="329">
        <f t="shared" si="0"/>
        <v>27220</v>
      </c>
      <c r="E34" s="329">
        <f>SUM(E35:E42)</f>
        <v>36922</v>
      </c>
      <c r="F34" s="328">
        <f t="shared" si="0"/>
        <v>0</v>
      </c>
      <c r="G34" s="330" t="e">
        <f>F34/#REF!</f>
        <v>#REF!</v>
      </c>
      <c r="H34" s="331"/>
    </row>
    <row r="35" spans="1:8" ht="15" customHeight="1" outlineLevel="1" x14ac:dyDescent="0.2">
      <c r="A35" s="405" t="s">
        <v>318</v>
      </c>
      <c r="B35" s="332"/>
      <c r="C35" s="323"/>
      <c r="D35" s="324"/>
      <c r="E35" s="324"/>
      <c r="F35" s="335"/>
      <c r="G35" s="325" t="e">
        <f>F35/#REF!</f>
        <v>#REF!</v>
      </c>
      <c r="H35" s="333" t="s">
        <v>411</v>
      </c>
    </row>
    <row r="36" spans="1:8" ht="15" customHeight="1" outlineLevel="1" x14ac:dyDescent="0.2">
      <c r="A36" s="406" t="s">
        <v>319</v>
      </c>
      <c r="B36" s="332"/>
      <c r="C36" s="390"/>
      <c r="D36" s="324"/>
      <c r="E36" s="324"/>
      <c r="F36" s="335"/>
      <c r="G36" s="325"/>
      <c r="H36" s="333"/>
    </row>
    <row r="37" spans="1:8" ht="15" customHeight="1" outlineLevel="1" x14ac:dyDescent="0.2">
      <c r="A37" s="405" t="s">
        <v>320</v>
      </c>
      <c r="B37" s="332"/>
      <c r="C37" s="323"/>
      <c r="D37" s="324"/>
      <c r="E37" s="324"/>
      <c r="F37" s="323"/>
      <c r="G37" s="325"/>
      <c r="H37" s="331"/>
    </row>
    <row r="38" spans="1:8" ht="15" customHeight="1" outlineLevel="1" x14ac:dyDescent="0.2">
      <c r="A38" s="405" t="s">
        <v>321</v>
      </c>
      <c r="B38" s="332"/>
      <c r="C38" s="390">
        <f>'F4'!C187</f>
        <v>4800</v>
      </c>
      <c r="D38" s="324">
        <f>'F4'!D187</f>
        <v>4800</v>
      </c>
      <c r="E38" s="324">
        <f>'F4'!E187</f>
        <v>4800</v>
      </c>
      <c r="F38" s="323"/>
      <c r="G38" s="325" t="e">
        <f>F38/#REF!</f>
        <v>#REF!</v>
      </c>
      <c r="H38" s="331"/>
    </row>
    <row r="39" spans="1:8" ht="15" customHeight="1" outlineLevel="1" x14ac:dyDescent="0.2">
      <c r="A39" s="405" t="s">
        <v>322</v>
      </c>
      <c r="B39" s="332"/>
      <c r="C39" s="390">
        <f>5200/2</f>
        <v>2600</v>
      </c>
      <c r="D39" s="324">
        <f>5200</f>
        <v>5200</v>
      </c>
      <c r="E39" s="324">
        <f>'F4'!E188</f>
        <v>14902</v>
      </c>
      <c r="F39" s="323"/>
      <c r="G39" s="325" t="e">
        <f>F39/#REF!</f>
        <v>#REF!</v>
      </c>
      <c r="H39" s="331" t="s">
        <v>517</v>
      </c>
    </row>
    <row r="40" spans="1:8" ht="15" customHeight="1" outlineLevel="1" x14ac:dyDescent="0.2">
      <c r="A40" s="405" t="s">
        <v>323</v>
      </c>
      <c r="B40" s="332"/>
      <c r="C40" s="323">
        <f>'F4'!C189</f>
        <v>9610</v>
      </c>
      <c r="D40" s="324">
        <f>'F4'!D189</f>
        <v>17220</v>
      </c>
      <c r="E40" s="324">
        <f>'F4'!E189</f>
        <v>17220</v>
      </c>
      <c r="F40" s="323"/>
      <c r="G40" s="325"/>
      <c r="H40" s="331" t="s">
        <v>420</v>
      </c>
    </row>
    <row r="41" spans="1:8" ht="15" customHeight="1" outlineLevel="1" x14ac:dyDescent="0.2">
      <c r="A41" s="405" t="s">
        <v>515</v>
      </c>
      <c r="B41" s="332"/>
      <c r="C41" s="323">
        <v>1500</v>
      </c>
      <c r="D41" s="324"/>
      <c r="E41" s="324"/>
      <c r="F41" s="323"/>
      <c r="G41" s="325"/>
      <c r="H41" s="331"/>
    </row>
    <row r="42" spans="1:8" ht="15" customHeight="1" outlineLevel="1" x14ac:dyDescent="0.2">
      <c r="A42" s="405" t="s">
        <v>324</v>
      </c>
      <c r="B42" s="332"/>
      <c r="C42" s="323"/>
      <c r="D42" s="324"/>
      <c r="E42" s="324"/>
      <c r="F42" s="323"/>
      <c r="G42" s="325" t="e">
        <f>F42/#REF!</f>
        <v>#REF!</v>
      </c>
      <c r="H42" s="333"/>
    </row>
    <row r="43" spans="1:8" ht="24.75" customHeight="1" x14ac:dyDescent="0.2">
      <c r="A43" s="403" t="s">
        <v>325</v>
      </c>
      <c r="B43" s="328">
        <f>SUM(B44:B60)</f>
        <v>0</v>
      </c>
      <c r="C43" s="328">
        <f>SUM(C45:C60)</f>
        <v>42950</v>
      </c>
      <c r="D43" s="329">
        <f>SUM(D45:D60)</f>
        <v>131626</v>
      </c>
      <c r="E43" s="329">
        <f>SUM(E45:E60)</f>
        <v>151630.08000000002</v>
      </c>
      <c r="F43" s="328">
        <f>SUM(F44:F60)</f>
        <v>0</v>
      </c>
      <c r="G43" s="330" t="e">
        <f>F43/#REF!</f>
        <v>#REF!</v>
      </c>
      <c r="H43" s="331"/>
    </row>
    <row r="44" spans="1:8" ht="15" customHeight="1" outlineLevel="1" x14ac:dyDescent="0.2">
      <c r="A44" s="405" t="s">
        <v>326</v>
      </c>
      <c r="B44" s="332"/>
      <c r="C44" s="391"/>
      <c r="D44" s="339"/>
      <c r="E44" s="339"/>
      <c r="F44" s="323"/>
      <c r="G44" s="325" t="e">
        <f>F44/#REF!</f>
        <v>#REF!</v>
      </c>
      <c r="H44" s="333"/>
    </row>
    <row r="45" spans="1:8" ht="15" customHeight="1" outlineLevel="1" x14ac:dyDescent="0.2">
      <c r="A45" s="406" t="s">
        <v>327</v>
      </c>
      <c r="B45" s="332"/>
      <c r="C45" s="391">
        <f>'Ville LORIENT'!C9</f>
        <v>38200</v>
      </c>
      <c r="D45" s="339">
        <f>'Ville LORIENT'!D9</f>
        <v>103626</v>
      </c>
      <c r="E45" s="339">
        <f>'Ville LORIENT'!E9</f>
        <v>143630.08000000002</v>
      </c>
      <c r="F45" s="323"/>
      <c r="G45" s="325"/>
      <c r="H45" s="333"/>
    </row>
    <row r="46" spans="1:8" ht="15" customHeight="1" outlineLevel="1" x14ac:dyDescent="0.2">
      <c r="A46" s="406" t="s">
        <v>392</v>
      </c>
      <c r="B46" s="332"/>
      <c r="C46" s="338">
        <f>LOCMIQUELIC!C22+LANESTER!C22</f>
        <v>4750</v>
      </c>
      <c r="D46" s="339">
        <f>LOCMIQUELIC!D22+LANESTER!D22</f>
        <v>8000</v>
      </c>
      <c r="E46" s="339">
        <f>LOCMIQUELIC!E22+LANESTER!E22</f>
        <v>8000</v>
      </c>
      <c r="F46" s="323"/>
      <c r="G46" s="325"/>
      <c r="H46" s="333"/>
    </row>
    <row r="47" spans="1:8" ht="15" customHeight="1" outlineLevel="1" x14ac:dyDescent="0.2">
      <c r="A47" s="405" t="s">
        <v>328</v>
      </c>
      <c r="B47" s="332"/>
      <c r="C47" s="391"/>
      <c r="D47" s="339">
        <f>500*40</f>
        <v>20000</v>
      </c>
      <c r="E47" s="339">
        <f>LOCMIQUELIC!E9+LANESTER!E9</f>
        <v>0</v>
      </c>
      <c r="F47" s="323"/>
      <c r="G47" s="325"/>
      <c r="H47" s="333"/>
    </row>
    <row r="48" spans="1:8" ht="15" customHeight="1" outlineLevel="1" x14ac:dyDescent="0.2">
      <c r="A48" s="405" t="s">
        <v>329</v>
      </c>
      <c r="B48" s="332"/>
      <c r="C48" s="391">
        <v>0</v>
      </c>
      <c r="D48" s="339">
        <v>0</v>
      </c>
      <c r="E48" s="339">
        <v>0</v>
      </c>
      <c r="F48" s="323"/>
      <c r="G48" s="325"/>
      <c r="H48" s="333"/>
    </row>
    <row r="49" spans="1:8" ht="15" customHeight="1" outlineLevel="1" x14ac:dyDescent="0.2">
      <c r="A49" s="405" t="s">
        <v>330</v>
      </c>
      <c r="B49" s="332"/>
      <c r="C49" s="338"/>
      <c r="D49" s="339"/>
      <c r="E49" s="339"/>
      <c r="F49" s="323"/>
      <c r="G49" s="325"/>
      <c r="H49" s="333"/>
    </row>
    <row r="50" spans="1:8" ht="15" customHeight="1" outlineLevel="1" x14ac:dyDescent="0.2">
      <c r="A50" s="405" t="s">
        <v>332</v>
      </c>
      <c r="B50" s="332"/>
      <c r="C50" s="338"/>
      <c r="D50" s="339"/>
      <c r="E50" s="339"/>
      <c r="F50" s="323"/>
      <c r="G50" s="325"/>
      <c r="H50" s="333"/>
    </row>
    <row r="51" spans="1:8" ht="15" customHeight="1" outlineLevel="1" x14ac:dyDescent="0.2">
      <c r="A51" s="405" t="s">
        <v>333</v>
      </c>
      <c r="B51" s="332"/>
      <c r="C51" s="338"/>
      <c r="D51" s="339"/>
      <c r="E51" s="339"/>
      <c r="F51" s="323"/>
      <c r="G51" s="344" t="e">
        <f>F51/#REF!</f>
        <v>#REF!</v>
      </c>
      <c r="H51" s="331"/>
    </row>
    <row r="52" spans="1:8" ht="15" customHeight="1" outlineLevel="1" x14ac:dyDescent="0.2">
      <c r="A52" s="405" t="s">
        <v>334</v>
      </c>
      <c r="B52" s="332"/>
      <c r="C52" s="338"/>
      <c r="D52" s="339"/>
      <c r="E52" s="339"/>
      <c r="F52" s="323"/>
      <c r="G52" s="325" t="e">
        <f>F52/#REF!</f>
        <v>#REF!</v>
      </c>
      <c r="H52" s="331"/>
    </row>
    <row r="53" spans="1:8" ht="15" customHeight="1" outlineLevel="1" x14ac:dyDescent="0.2">
      <c r="A53" s="405" t="s">
        <v>335</v>
      </c>
      <c r="B53" s="332"/>
      <c r="C53" s="338"/>
      <c r="D53" s="339"/>
      <c r="E53" s="339"/>
      <c r="F53" s="323"/>
      <c r="G53" s="325" t="e">
        <f>F53/#REF!</f>
        <v>#REF!</v>
      </c>
      <c r="H53" s="331"/>
    </row>
    <row r="54" spans="1:8" ht="15" customHeight="1" x14ac:dyDescent="0.2">
      <c r="A54" s="405"/>
      <c r="B54" s="332"/>
      <c r="C54" s="338"/>
      <c r="D54" s="339"/>
      <c r="E54" s="339"/>
      <c r="F54" s="323"/>
      <c r="G54" s="325"/>
      <c r="H54" s="333"/>
    </row>
    <row r="55" spans="1:8" ht="20.100000000000001" customHeight="1" collapsed="1" x14ac:dyDescent="0.2">
      <c r="A55" s="403" t="s">
        <v>331</v>
      </c>
      <c r="B55" s="340"/>
      <c r="C55" s="328"/>
      <c r="D55" s="329"/>
      <c r="E55" s="341"/>
      <c r="F55" s="323"/>
      <c r="G55" s="330"/>
      <c r="H55" s="342"/>
    </row>
    <row r="56" spans="1:8" ht="15.6" hidden="1" customHeight="1" outlineLevel="1" x14ac:dyDescent="0.2">
      <c r="A56" s="414">
        <v>455</v>
      </c>
      <c r="B56" s="340"/>
      <c r="C56" s="328"/>
      <c r="D56" s="329"/>
      <c r="E56" s="341"/>
      <c r="F56" s="323"/>
      <c r="G56" s="330"/>
      <c r="H56" s="343"/>
    </row>
    <row r="57" spans="1:8" ht="15" hidden="1" customHeight="1" outlineLevel="1" x14ac:dyDescent="0.2">
      <c r="A57" s="405"/>
      <c r="B57" s="332"/>
      <c r="C57" s="338"/>
      <c r="D57" s="339"/>
      <c r="E57" s="339"/>
      <c r="F57" s="323"/>
      <c r="G57" s="325"/>
      <c r="H57" s="333"/>
    </row>
    <row r="58" spans="1:8" ht="15" hidden="1" customHeight="1" outlineLevel="1" x14ac:dyDescent="0.2">
      <c r="A58" s="405"/>
      <c r="B58" s="332"/>
      <c r="C58" s="338"/>
      <c r="D58" s="339"/>
      <c r="E58" s="339"/>
      <c r="F58" s="323"/>
      <c r="G58" s="325"/>
      <c r="H58" s="333"/>
    </row>
    <row r="59" spans="1:8" ht="15" hidden="1" customHeight="1" outlineLevel="1" x14ac:dyDescent="0.2">
      <c r="A59" s="405"/>
      <c r="B59" s="332"/>
      <c r="C59" s="338"/>
      <c r="D59" s="339"/>
      <c r="E59" s="339"/>
      <c r="F59" s="323"/>
      <c r="G59" s="325"/>
      <c r="H59" s="333"/>
    </row>
    <row r="60" spans="1:8" ht="15" hidden="1" customHeight="1" outlineLevel="1" x14ac:dyDescent="0.2">
      <c r="A60" s="405"/>
      <c r="B60" s="332"/>
      <c r="C60" s="338"/>
      <c r="D60" s="339"/>
      <c r="E60" s="339"/>
      <c r="F60" s="323"/>
      <c r="G60" s="325"/>
      <c r="H60" s="333"/>
    </row>
    <row r="61" spans="1:8" ht="24.75" customHeight="1" collapsed="1" thickBot="1" x14ac:dyDescent="0.25">
      <c r="A61" s="403" t="s">
        <v>336</v>
      </c>
      <c r="B61" s="328">
        <f t="shared" ref="B61:F61" si="1">SUM(B62:B64)</f>
        <v>0</v>
      </c>
      <c r="C61" s="328">
        <f t="shared" si="1"/>
        <v>1200</v>
      </c>
      <c r="D61" s="329">
        <f t="shared" si="1"/>
        <v>2300</v>
      </c>
      <c r="E61" s="329">
        <f t="shared" si="1"/>
        <v>2300</v>
      </c>
      <c r="F61" s="328">
        <f t="shared" si="1"/>
        <v>0</v>
      </c>
      <c r="G61" s="330" t="e">
        <f>F61/#REF!</f>
        <v>#REF!</v>
      </c>
      <c r="H61" s="331"/>
    </row>
    <row r="62" spans="1:8" ht="15" hidden="1" customHeight="1" outlineLevel="1" x14ac:dyDescent="0.2">
      <c r="A62" s="405" t="s">
        <v>337</v>
      </c>
      <c r="B62" s="332"/>
      <c r="C62" s="390">
        <v>1200</v>
      </c>
      <c r="D62" s="324">
        <f>'F4'!D195</f>
        <v>2300</v>
      </c>
      <c r="E62" s="324">
        <f>'F4'!E195</f>
        <v>2300</v>
      </c>
      <c r="F62" s="323"/>
      <c r="G62" s="325" t="e">
        <f>F62/#REF!</f>
        <v>#REF!</v>
      </c>
      <c r="H62" s="331"/>
    </row>
    <row r="63" spans="1:8" ht="15" hidden="1" customHeight="1" outlineLevel="1" x14ac:dyDescent="0.2">
      <c r="A63" s="405" t="s">
        <v>338</v>
      </c>
      <c r="B63" s="332"/>
      <c r="C63" s="323"/>
      <c r="D63" s="324"/>
      <c r="E63" s="324"/>
      <c r="F63" s="323"/>
      <c r="G63" s="325"/>
      <c r="H63" s="331"/>
    </row>
    <row r="64" spans="1:8" ht="15" hidden="1" customHeight="1" outlineLevel="1" thickBot="1" x14ac:dyDescent="0.25">
      <c r="A64" s="407" t="s">
        <v>339</v>
      </c>
      <c r="B64" s="332"/>
      <c r="C64" s="335"/>
      <c r="D64" s="336"/>
      <c r="E64" s="336"/>
      <c r="F64" s="335"/>
      <c r="G64" s="325" t="e">
        <f>F64/#REF!</f>
        <v>#REF!</v>
      </c>
      <c r="H64" s="333"/>
    </row>
    <row r="65" spans="1:8" ht="25.5" x14ac:dyDescent="0.2">
      <c r="A65" s="399"/>
      <c r="B65" s="345" t="str">
        <f>B9</f>
        <v>Réalisé</v>
      </c>
      <c r="C65" s="304" t="str">
        <f>C9</f>
        <v>Prévisionnel 30/06/2019</v>
      </c>
      <c r="D65" s="346" t="str">
        <f>D9</f>
        <v>Prévisionnel 30/06/2020</v>
      </c>
      <c r="E65" s="305" t="str">
        <f>E9</f>
        <v>Prévisionnel 30/06/2021</v>
      </c>
      <c r="F65" s="304" t="str">
        <f>F9</f>
        <v>Réalisé</v>
      </c>
      <c r="G65" s="347" t="str">
        <f>G9</f>
        <v>% réalisé</v>
      </c>
      <c r="H65" s="348"/>
    </row>
    <row r="66" spans="1:8" ht="12.75" x14ac:dyDescent="0.2">
      <c r="A66" s="400"/>
      <c r="B66" s="349" t="str">
        <f>B10</f>
        <v>au</v>
      </c>
      <c r="C66" s="309">
        <f>C10</f>
        <v>0</v>
      </c>
      <c r="D66" s="350">
        <f>D10</f>
        <v>0</v>
      </c>
      <c r="E66" s="310">
        <f>E10</f>
        <v>0</v>
      </c>
      <c r="F66" s="309" t="str">
        <f>F10</f>
        <v>au</v>
      </c>
      <c r="G66" s="351" t="str">
        <f>G10</f>
        <v>au</v>
      </c>
      <c r="H66" s="352"/>
    </row>
    <row r="67" spans="1:8" ht="13.5" thickBot="1" x14ac:dyDescent="0.25">
      <c r="A67" s="401"/>
      <c r="B67" s="353">
        <f>B11</f>
        <v>43465</v>
      </c>
      <c r="C67" s="313">
        <f>C11</f>
        <v>0</v>
      </c>
      <c r="D67" s="354">
        <f>D11</f>
        <v>0</v>
      </c>
      <c r="E67" s="314">
        <f>E11</f>
        <v>0</v>
      </c>
      <c r="F67" s="313">
        <f>F11</f>
        <v>43496</v>
      </c>
      <c r="G67" s="355">
        <f>G11</f>
        <v>43496</v>
      </c>
      <c r="H67" s="352"/>
    </row>
    <row r="68" spans="1:8" ht="24" customHeight="1" thickBot="1" x14ac:dyDescent="0.25">
      <c r="A68" s="402" t="s">
        <v>157</v>
      </c>
      <c r="B68" s="356">
        <f>B69+B105+B107+B114</f>
        <v>0</v>
      </c>
      <c r="C68" s="317">
        <f>C69+C105+C114+C118</f>
        <v>84143.969037234609</v>
      </c>
      <c r="D68" s="317">
        <f>D69+D105+D114+D118+D107</f>
        <v>185398.62202153742</v>
      </c>
      <c r="E68" s="317">
        <f>E69+E105+E114+E118+E107</f>
        <v>272911.52120764926</v>
      </c>
      <c r="F68" s="317">
        <f>F69+F105+F114</f>
        <v>21477.206574155844</v>
      </c>
      <c r="G68" s="318" t="e">
        <f>F68/#REF!</f>
        <v>#REF!</v>
      </c>
      <c r="H68" s="357"/>
    </row>
    <row r="69" spans="1:8" ht="24.75" customHeight="1" x14ac:dyDescent="0.2">
      <c r="A69" s="403" t="s">
        <v>443</v>
      </c>
      <c r="B69" s="340">
        <f>SUM(B70:B104)</f>
        <v>0</v>
      </c>
      <c r="C69" s="328">
        <f>SUBTOTAL(9,C70:C104)</f>
        <v>84143.969037234609</v>
      </c>
      <c r="D69" s="441">
        <f t="shared" ref="D69:E69" si="2">SUBTOTAL(9,D70:D104)</f>
        <v>185398.62202153742</v>
      </c>
      <c r="E69" s="441">
        <f t="shared" si="2"/>
        <v>272911.52120764926</v>
      </c>
      <c r="F69" s="328">
        <f>SUM(F70:F104)</f>
        <v>21477.206574155844</v>
      </c>
      <c r="G69" s="330" t="e">
        <f>F69/#REF!</f>
        <v>#REF!</v>
      </c>
      <c r="H69" s="342"/>
    </row>
    <row r="70" spans="1:8" ht="15" customHeight="1" collapsed="1" x14ac:dyDescent="0.2">
      <c r="A70" s="408" t="s">
        <v>340</v>
      </c>
      <c r="B70" s="332"/>
      <c r="C70" s="436">
        <f>SUBTOTAL(9,C71:C81)</f>
        <v>71875.615197910782</v>
      </c>
      <c r="D70" s="440">
        <f t="shared" ref="D70:E70" si="3">SUBTOTAL(9,D71:D81)</f>
        <v>157846.50781355042</v>
      </c>
      <c r="E70" s="440">
        <f t="shared" si="3"/>
        <v>245464.95916986334</v>
      </c>
      <c r="F70" s="437"/>
      <c r="G70" s="438" t="e">
        <f>F70/#REF!</f>
        <v>#REF!</v>
      </c>
      <c r="H70" s="439"/>
    </row>
    <row r="71" spans="1:8" ht="15" hidden="1" customHeight="1" outlineLevel="1" x14ac:dyDescent="0.2">
      <c r="A71" s="405" t="s">
        <v>341</v>
      </c>
      <c r="B71" s="332"/>
      <c r="C71" s="358">
        <f>'Ville LORIENT'!C39</f>
        <v>71875.615197910782</v>
      </c>
      <c r="D71" s="339">
        <f>'Ville LORIENT'!D39</f>
        <v>157846.50781355042</v>
      </c>
      <c r="E71" s="339">
        <f>'Ville LORIENT'!E39</f>
        <v>245464.95916986334</v>
      </c>
      <c r="F71" s="335"/>
      <c r="G71" s="325" t="e">
        <f>F71/#REF!</f>
        <v>#REF!</v>
      </c>
      <c r="H71" s="342" t="s">
        <v>393</v>
      </c>
    </row>
    <row r="72" spans="1:8" ht="15" hidden="1" customHeight="1" outlineLevel="1" x14ac:dyDescent="0.2">
      <c r="A72" s="406" t="s">
        <v>342</v>
      </c>
      <c r="B72" s="332"/>
      <c r="C72" s="358">
        <v>0</v>
      </c>
      <c r="D72" s="339">
        <v>0</v>
      </c>
      <c r="E72" s="339">
        <f>LANESTER!E9*1.02</f>
        <v>0</v>
      </c>
      <c r="F72" s="335"/>
      <c r="G72" s="325" t="e">
        <f>F72/#REF!</f>
        <v>#REF!</v>
      </c>
      <c r="H72" s="342" t="s">
        <v>394</v>
      </c>
    </row>
    <row r="73" spans="1:8" ht="15" hidden="1" customHeight="1" outlineLevel="1" x14ac:dyDescent="0.2">
      <c r="A73" s="406" t="s">
        <v>343</v>
      </c>
      <c r="B73" s="332"/>
      <c r="C73" s="358">
        <v>0</v>
      </c>
      <c r="D73" s="339">
        <v>0</v>
      </c>
      <c r="E73" s="339">
        <f>LOCMIQUELIC!E9*10.2</f>
        <v>0</v>
      </c>
      <c r="F73" s="335"/>
      <c r="G73" s="325" t="e">
        <f>F73/#REF!</f>
        <v>#REF!</v>
      </c>
      <c r="H73" s="342" t="s">
        <v>395</v>
      </c>
    </row>
    <row r="74" spans="1:8" ht="15" hidden="1" customHeight="1" outlineLevel="1" x14ac:dyDescent="0.2">
      <c r="A74" s="405" t="s">
        <v>344</v>
      </c>
      <c r="B74" s="332"/>
      <c r="C74" s="358"/>
      <c r="D74" s="339"/>
      <c r="E74" s="339"/>
      <c r="F74" s="335"/>
      <c r="G74" s="325" t="e">
        <f>F74/#REF!</f>
        <v>#REF!</v>
      </c>
      <c r="H74" s="342"/>
    </row>
    <row r="75" spans="1:8" ht="15" hidden="1" customHeight="1" outlineLevel="1" x14ac:dyDescent="0.2">
      <c r="A75" s="405" t="s">
        <v>345</v>
      </c>
      <c r="B75" s="332"/>
      <c r="C75" s="358"/>
      <c r="D75" s="339"/>
      <c r="E75" s="339"/>
      <c r="F75" s="335"/>
      <c r="G75" s="325" t="e">
        <f>F75/#REF!</f>
        <v>#REF!</v>
      </c>
      <c r="H75" s="342"/>
    </row>
    <row r="76" spans="1:8" ht="15" hidden="1" customHeight="1" outlineLevel="1" x14ac:dyDescent="0.2">
      <c r="A76" s="405" t="s">
        <v>346</v>
      </c>
      <c r="B76" s="332"/>
      <c r="C76" s="358"/>
      <c r="D76" s="339"/>
      <c r="E76" s="339"/>
      <c r="F76" s="335"/>
      <c r="G76" s="325" t="e">
        <f>F76/#REF!</f>
        <v>#REF!</v>
      </c>
      <c r="H76" s="342"/>
    </row>
    <row r="77" spans="1:8" ht="15" hidden="1" customHeight="1" outlineLevel="1" x14ac:dyDescent="0.2">
      <c r="A77" s="405" t="s">
        <v>347</v>
      </c>
      <c r="B77" s="332"/>
      <c r="C77" s="358"/>
      <c r="D77" s="339"/>
      <c r="E77" s="339"/>
      <c r="F77" s="335"/>
      <c r="G77" s="325" t="e">
        <f>F77/#REF!</f>
        <v>#REF!</v>
      </c>
      <c r="H77" s="342"/>
    </row>
    <row r="78" spans="1:8" ht="15" hidden="1" customHeight="1" outlineLevel="1" x14ac:dyDescent="0.2">
      <c r="A78" s="405" t="s">
        <v>348</v>
      </c>
      <c r="B78" s="332"/>
      <c r="C78" s="358"/>
      <c r="D78" s="339"/>
      <c r="E78" s="339"/>
      <c r="F78" s="335"/>
      <c r="G78" s="325" t="e">
        <f>F78/#REF!</f>
        <v>#REF!</v>
      </c>
      <c r="H78" s="342"/>
    </row>
    <row r="79" spans="1:8" ht="15" hidden="1" customHeight="1" outlineLevel="1" x14ac:dyDescent="0.2">
      <c r="A79" s="405" t="s">
        <v>349</v>
      </c>
      <c r="B79" s="332"/>
      <c r="C79" s="358"/>
      <c r="D79" s="339"/>
      <c r="E79" s="339"/>
      <c r="F79" s="335"/>
      <c r="G79" s="325" t="e">
        <f>F79/#REF!</f>
        <v>#REF!</v>
      </c>
      <c r="H79" s="342"/>
    </row>
    <row r="80" spans="1:8" ht="15" hidden="1" customHeight="1" outlineLevel="1" x14ac:dyDescent="0.2">
      <c r="A80" s="405" t="s">
        <v>350</v>
      </c>
      <c r="B80" s="332"/>
      <c r="C80" s="358"/>
      <c r="D80" s="339"/>
      <c r="E80" s="339"/>
      <c r="F80" s="335"/>
      <c r="G80" s="325" t="e">
        <f>F80/#REF!</f>
        <v>#REF!</v>
      </c>
      <c r="H80" s="342"/>
    </row>
    <row r="81" spans="1:8" ht="15" hidden="1" customHeight="1" outlineLevel="1" x14ac:dyDescent="0.2">
      <c r="A81" s="405" t="s">
        <v>351</v>
      </c>
      <c r="B81" s="332"/>
      <c r="C81" s="358"/>
      <c r="D81" s="339"/>
      <c r="E81" s="339"/>
      <c r="F81" s="335"/>
      <c r="G81" s="325" t="e">
        <f>F81/#REF!</f>
        <v>#REF!</v>
      </c>
      <c r="H81" s="342"/>
    </row>
    <row r="82" spans="1:8" ht="15" customHeight="1" x14ac:dyDescent="0.2">
      <c r="A82" s="405"/>
      <c r="B82" s="332"/>
      <c r="C82" s="358"/>
      <c r="D82" s="339"/>
      <c r="E82" s="339"/>
      <c r="F82" s="335"/>
      <c r="G82" s="325" t="e">
        <f>F82/#REF!</f>
        <v>#REF!</v>
      </c>
      <c r="H82" s="342"/>
    </row>
    <row r="83" spans="1:8" ht="12.75" customHeight="1" x14ac:dyDescent="0.2">
      <c r="A83" s="408" t="s">
        <v>441</v>
      </c>
      <c r="B83" s="332"/>
      <c r="C83" s="436">
        <f>SUBTOTAL(9,C84:C93)</f>
        <v>12268.353839323829</v>
      </c>
      <c r="D83" s="440">
        <f t="shared" ref="D83:E83" si="4">SUBTOTAL(9,D84:D93)</f>
        <v>27552.114207987011</v>
      </c>
      <c r="E83" s="440">
        <f t="shared" si="4"/>
        <v>27446.562037785934</v>
      </c>
      <c r="F83" s="335"/>
      <c r="G83" s="325" t="e">
        <f>F83/#REF!</f>
        <v>#REF!</v>
      </c>
      <c r="H83" s="343"/>
    </row>
    <row r="84" spans="1:8" ht="12.75" customHeight="1" outlineLevel="1" x14ac:dyDescent="0.2">
      <c r="A84" s="406" t="s">
        <v>352</v>
      </c>
      <c r="B84" s="332"/>
      <c r="C84" s="358">
        <f>LANESTER!C35</f>
        <v>4852.1386407142854</v>
      </c>
      <c r="D84" s="339">
        <f>LANESTER!D35</f>
        <v>14258.554562857142</v>
      </c>
      <c r="E84" s="339">
        <f>LANESTER!E35</f>
        <v>14258.554562857142</v>
      </c>
      <c r="F84" s="358">
        <f>(LANESTER!F18+LANESTER!F29+LANESTER!F31)*1.02</f>
        <v>10419.663994285715</v>
      </c>
      <c r="G84" s="358">
        <f>(LANESTER!G18+LANESTER!G29+LANESTER!G31)*1.02</f>
        <v>10419.663994285715</v>
      </c>
      <c r="H84" s="343" t="s">
        <v>516</v>
      </c>
    </row>
    <row r="85" spans="1:8" ht="12.75" customHeight="1" outlineLevel="1" x14ac:dyDescent="0.2">
      <c r="A85" s="406" t="s">
        <v>353</v>
      </c>
      <c r="B85" s="332"/>
      <c r="C85" s="358">
        <f>LOCMIQUELIC!C36</f>
        <v>7416.2151986095432</v>
      </c>
      <c r="D85" s="339">
        <f>(LOCMIQUELIC!D18+LOCMIQUELIC!D29+LOCMIQUELIC!D31)*1.02</f>
        <v>13293.55964512987</v>
      </c>
      <c r="E85" s="339">
        <f>(LOCMIQUELIC!E18+LOCMIQUELIC!E29+LOCMIQUELIC!E31)*1.02</f>
        <v>13188.007474928792</v>
      </c>
      <c r="F85" s="358">
        <f>(LOCMIQUELIC!F18+LOCMIQUELIC!F29+LOCMIQUELIC!F31)*1.02</f>
        <v>11057.542579870129</v>
      </c>
      <c r="G85" s="358">
        <f>(LOCMIQUELIC!G18+LOCMIQUELIC!G29+LOCMIQUELIC!G31)*1.02</f>
        <v>11057.542579870129</v>
      </c>
      <c r="H85" s="343" t="s">
        <v>516</v>
      </c>
    </row>
    <row r="86" spans="1:8" ht="12.75" customHeight="1" outlineLevel="1" x14ac:dyDescent="0.2">
      <c r="A86" s="405" t="s">
        <v>354</v>
      </c>
      <c r="B86" s="332"/>
      <c r="C86" s="358"/>
      <c r="D86" s="339"/>
      <c r="E86" s="339"/>
      <c r="F86" s="335"/>
      <c r="G86" s="325" t="e">
        <f>F86/#REF!</f>
        <v>#REF!</v>
      </c>
      <c r="H86" s="343"/>
    </row>
    <row r="87" spans="1:8" ht="12.75" customHeight="1" outlineLevel="1" x14ac:dyDescent="0.2">
      <c r="A87" s="405" t="s">
        <v>355</v>
      </c>
      <c r="B87" s="332"/>
      <c r="C87" s="358"/>
      <c r="D87" s="339"/>
      <c r="E87" s="339"/>
      <c r="F87" s="335"/>
      <c r="G87" s="325" t="e">
        <f>F87/#REF!</f>
        <v>#REF!</v>
      </c>
      <c r="H87" s="343"/>
    </row>
    <row r="88" spans="1:8" ht="12.75" customHeight="1" outlineLevel="1" x14ac:dyDescent="0.2">
      <c r="A88" s="405" t="s">
        <v>356</v>
      </c>
      <c r="B88" s="332"/>
      <c r="C88" s="358"/>
      <c r="D88" s="339"/>
      <c r="E88" s="339"/>
      <c r="F88" s="335"/>
      <c r="G88" s="325" t="e">
        <f>F88/#REF!</f>
        <v>#REF!</v>
      </c>
      <c r="H88" s="343"/>
    </row>
    <row r="89" spans="1:8" ht="12.75" customHeight="1" outlineLevel="1" x14ac:dyDescent="0.2">
      <c r="A89" s="405" t="s">
        <v>357</v>
      </c>
      <c r="B89" s="332"/>
      <c r="C89" s="358"/>
      <c r="D89" s="339"/>
      <c r="E89" s="339"/>
      <c r="F89" s="335"/>
      <c r="G89" s="325" t="e">
        <f>F89/#REF!</f>
        <v>#REF!</v>
      </c>
      <c r="H89" s="343"/>
    </row>
    <row r="90" spans="1:8" ht="12.75" customHeight="1" outlineLevel="1" x14ac:dyDescent="0.2">
      <c r="A90" s="405" t="s">
        <v>358</v>
      </c>
      <c r="B90" s="332"/>
      <c r="C90" s="358"/>
      <c r="D90" s="339"/>
      <c r="E90" s="339"/>
      <c r="F90" s="335"/>
      <c r="G90" s="325" t="e">
        <f>F90/#REF!</f>
        <v>#REF!</v>
      </c>
      <c r="H90" s="343"/>
    </row>
    <row r="91" spans="1:8" ht="12.75" customHeight="1" outlineLevel="1" x14ac:dyDescent="0.2">
      <c r="A91" s="405" t="s">
        <v>359</v>
      </c>
      <c r="B91" s="332"/>
      <c r="C91" s="358"/>
      <c r="D91" s="339"/>
      <c r="E91" s="339"/>
      <c r="F91" s="335"/>
      <c r="G91" s="325" t="e">
        <f>F91/#REF!</f>
        <v>#REF!</v>
      </c>
      <c r="H91" s="343"/>
    </row>
    <row r="92" spans="1:8" ht="12.75" customHeight="1" outlineLevel="1" x14ac:dyDescent="0.2">
      <c r="A92" s="405" t="s">
        <v>360</v>
      </c>
      <c r="B92" s="332"/>
      <c r="C92" s="358"/>
      <c r="D92" s="339"/>
      <c r="E92" s="339"/>
      <c r="F92" s="335"/>
      <c r="G92" s="325" t="e">
        <f>F92/#REF!</f>
        <v>#REF!</v>
      </c>
      <c r="H92" s="343"/>
    </row>
    <row r="93" spans="1:8" ht="12.75" customHeight="1" outlineLevel="1" x14ac:dyDescent="0.2">
      <c r="A93" s="405" t="s">
        <v>361</v>
      </c>
      <c r="B93" s="332"/>
      <c r="C93" s="358"/>
      <c r="D93" s="339"/>
      <c r="E93" s="339"/>
      <c r="F93" s="335"/>
      <c r="G93" s="325" t="e">
        <f>F93/#REF!</f>
        <v>#REF!</v>
      </c>
      <c r="H93" s="343"/>
    </row>
    <row r="94" spans="1:8" ht="12.75" x14ac:dyDescent="0.2">
      <c r="A94" s="405"/>
      <c r="B94" s="332"/>
      <c r="C94" s="358"/>
      <c r="D94" s="339"/>
      <c r="E94" s="339"/>
      <c r="F94" s="335"/>
      <c r="G94" s="325" t="e">
        <f>F94/#REF!</f>
        <v>#REF!</v>
      </c>
      <c r="H94" s="343"/>
    </row>
    <row r="95" spans="1:8" ht="12.75" x14ac:dyDescent="0.2">
      <c r="A95" s="408" t="s">
        <v>442</v>
      </c>
      <c r="B95" s="332"/>
      <c r="C95" s="436"/>
      <c r="D95" s="440"/>
      <c r="E95" s="440"/>
      <c r="F95" s="323"/>
      <c r="G95" s="325" t="e">
        <f>F95/#REF!</f>
        <v>#REF!</v>
      </c>
      <c r="H95" s="360"/>
    </row>
    <row r="96" spans="1:8" ht="15" customHeight="1" x14ac:dyDescent="0.2">
      <c r="A96" s="405"/>
      <c r="B96" s="359"/>
      <c r="C96" s="358"/>
      <c r="D96" s="339"/>
      <c r="E96" s="339"/>
      <c r="F96" s="323"/>
      <c r="G96" s="325" t="e">
        <f>F96/#REF!</f>
        <v>#REF!</v>
      </c>
      <c r="H96" s="360"/>
    </row>
    <row r="97" spans="1:8" ht="12.75" customHeight="1" collapsed="1" x14ac:dyDescent="0.2">
      <c r="A97" s="408" t="s">
        <v>362</v>
      </c>
      <c r="B97" s="332"/>
      <c r="C97" s="358"/>
      <c r="D97" s="339"/>
      <c r="E97" s="339"/>
      <c r="F97" s="323"/>
      <c r="G97" s="325" t="e">
        <f>F97/#REF!</f>
        <v>#REF!</v>
      </c>
      <c r="H97" s="343"/>
    </row>
    <row r="98" spans="1:8" ht="15" hidden="1" customHeight="1" outlineLevel="1" x14ac:dyDescent="0.2">
      <c r="A98" s="405" t="s">
        <v>363</v>
      </c>
      <c r="B98" s="361"/>
      <c r="C98" s="358"/>
      <c r="D98" s="339"/>
      <c r="E98" s="339"/>
      <c r="F98" s="323"/>
      <c r="G98" s="325" t="e">
        <f>F98/#REF!</f>
        <v>#REF!</v>
      </c>
      <c r="H98" s="342"/>
    </row>
    <row r="99" spans="1:8" ht="15" hidden="1" customHeight="1" outlineLevel="1" x14ac:dyDescent="0.2">
      <c r="A99" s="405" t="s">
        <v>364</v>
      </c>
      <c r="B99" s="332"/>
      <c r="C99" s="358"/>
      <c r="D99" s="339"/>
      <c r="E99" s="339"/>
      <c r="F99" s="335"/>
      <c r="G99" s="325" t="e">
        <f>F99/#REF!</f>
        <v>#REF!</v>
      </c>
      <c r="H99" s="342"/>
    </row>
    <row r="100" spans="1:8" ht="15" hidden="1" customHeight="1" outlineLevel="1" x14ac:dyDescent="0.2">
      <c r="A100" s="405" t="s">
        <v>365</v>
      </c>
      <c r="B100" s="332"/>
      <c r="C100" s="358"/>
      <c r="D100" s="339"/>
      <c r="E100" s="339"/>
      <c r="F100" s="323"/>
      <c r="G100" s="325" t="e">
        <f>F100/#REF!</f>
        <v>#REF!</v>
      </c>
      <c r="H100" s="342"/>
    </row>
    <row r="101" spans="1:8" ht="15" hidden="1" customHeight="1" outlineLevel="1" x14ac:dyDescent="0.2">
      <c r="A101" s="405" t="s">
        <v>366</v>
      </c>
      <c r="B101" s="332"/>
      <c r="C101" s="358"/>
      <c r="D101" s="339"/>
      <c r="E101" s="339"/>
      <c r="F101" s="335"/>
      <c r="G101" s="325" t="e">
        <f>F101/#REF!</f>
        <v>#REF!</v>
      </c>
      <c r="H101" s="342"/>
    </row>
    <row r="102" spans="1:8" ht="12.75" hidden="1" customHeight="1" outlineLevel="1" x14ac:dyDescent="0.2">
      <c r="A102" s="405" t="s">
        <v>367</v>
      </c>
      <c r="B102" s="332"/>
      <c r="C102" s="358"/>
      <c r="D102" s="339"/>
      <c r="E102" s="339"/>
      <c r="F102" s="335"/>
      <c r="G102" s="325" t="e">
        <f>F102/#REF!</f>
        <v>#REF!</v>
      </c>
      <c r="H102" s="343"/>
    </row>
    <row r="103" spans="1:8" ht="15" hidden="1" customHeight="1" outlineLevel="1" x14ac:dyDescent="0.2">
      <c r="A103" s="405" t="s">
        <v>368</v>
      </c>
      <c r="B103" s="332"/>
      <c r="C103" s="358"/>
      <c r="D103" s="339"/>
      <c r="E103" s="339"/>
      <c r="F103" s="323"/>
      <c r="G103" s="325" t="e">
        <f>F103/#REF!</f>
        <v>#REF!</v>
      </c>
      <c r="H103" s="343"/>
    </row>
    <row r="104" spans="1:8" ht="15" hidden="1" customHeight="1" outlineLevel="1" x14ac:dyDescent="0.2">
      <c r="A104" s="405" t="s">
        <v>369</v>
      </c>
      <c r="B104" s="332"/>
      <c r="C104" s="338"/>
      <c r="D104" s="339"/>
      <c r="E104" s="339"/>
      <c r="F104" s="323"/>
      <c r="G104" s="325" t="e">
        <f>F104/#REF!</f>
        <v>#REF!</v>
      </c>
      <c r="H104" s="342"/>
    </row>
    <row r="105" spans="1:8" ht="17.25" hidden="1" customHeight="1" outlineLevel="1" x14ac:dyDescent="0.2">
      <c r="A105" s="405" t="s">
        <v>370</v>
      </c>
      <c r="B105" s="340">
        <f t="shared" ref="B105:F105" si="5">B106</f>
        <v>0</v>
      </c>
      <c r="C105" s="328"/>
      <c r="D105" s="329"/>
      <c r="E105" s="329"/>
      <c r="F105" s="328">
        <f t="shared" si="5"/>
        <v>0</v>
      </c>
      <c r="G105" s="330" t="e">
        <f>F105/#REF!</f>
        <v>#REF!</v>
      </c>
      <c r="H105" s="342"/>
    </row>
    <row r="106" spans="1:8" ht="15" customHeight="1" x14ac:dyDescent="0.2">
      <c r="A106" s="405"/>
      <c r="B106" s="332"/>
      <c r="C106" s="335"/>
      <c r="D106" s="324"/>
      <c r="E106" s="324"/>
      <c r="F106" s="335"/>
      <c r="G106" s="325" t="e">
        <f>F106/#REF!</f>
        <v>#REF!</v>
      </c>
      <c r="H106" s="342"/>
    </row>
    <row r="107" spans="1:8" ht="17.25" x14ac:dyDescent="0.2">
      <c r="A107" s="405"/>
      <c r="B107" s="340">
        <f>B113</f>
        <v>0</v>
      </c>
      <c r="C107" s="328"/>
      <c r="D107" s="329"/>
      <c r="E107" s="329"/>
      <c r="F107" s="328" t="s">
        <v>371</v>
      </c>
      <c r="G107" s="330">
        <v>0</v>
      </c>
      <c r="H107" s="342"/>
    </row>
    <row r="108" spans="1:8" ht="20.100000000000001" customHeight="1" x14ac:dyDescent="0.2">
      <c r="A108" s="403" t="s">
        <v>331</v>
      </c>
      <c r="B108" s="340"/>
      <c r="C108" s="328"/>
      <c r="D108" s="329">
        <f>D109</f>
        <v>30141.277922077927</v>
      </c>
      <c r="E108" s="329">
        <f>E109</f>
        <v>30141.277922077927</v>
      </c>
      <c r="F108" s="323"/>
      <c r="G108" s="330"/>
      <c r="H108" s="342"/>
    </row>
    <row r="109" spans="1:8" ht="15.6" customHeight="1" x14ac:dyDescent="0.2">
      <c r="A109" s="414">
        <v>455</v>
      </c>
      <c r="B109" s="340"/>
      <c r="C109" s="328"/>
      <c r="D109" s="339">
        <f>D35+D17</f>
        <v>30141.277922077927</v>
      </c>
      <c r="E109" s="339">
        <f>E35+E17</f>
        <v>30141.277922077927</v>
      </c>
      <c r="F109" s="323"/>
      <c r="G109" s="330"/>
      <c r="H109" s="343" t="s">
        <v>412</v>
      </c>
    </row>
    <row r="110" spans="1:8" ht="15" customHeight="1" x14ac:dyDescent="0.2">
      <c r="A110" s="405"/>
      <c r="B110" s="332"/>
      <c r="C110" s="335"/>
      <c r="D110" s="324"/>
      <c r="E110" s="324"/>
      <c r="F110" s="335"/>
      <c r="G110" s="325" t="e">
        <f>F110/#REF!</f>
        <v>#REF!</v>
      </c>
      <c r="H110" s="342"/>
    </row>
    <row r="111" spans="1:8" ht="17.25" x14ac:dyDescent="0.2">
      <c r="A111" s="405"/>
      <c r="B111" s="340">
        <f>B117</f>
        <v>0</v>
      </c>
      <c r="C111" s="328" t="s">
        <v>371</v>
      </c>
      <c r="D111" s="329">
        <f>SUM(D116:D117)</f>
        <v>0</v>
      </c>
      <c r="E111" s="329">
        <f>SUM(E112:E117)</f>
        <v>0</v>
      </c>
      <c r="F111" s="328" t="s">
        <v>371</v>
      </c>
      <c r="G111" s="330">
        <v>0</v>
      </c>
      <c r="H111" s="342"/>
    </row>
    <row r="112" spans="1:8" ht="17.100000000000001" customHeight="1" x14ac:dyDescent="0.2">
      <c r="A112" s="403" t="s">
        <v>372</v>
      </c>
      <c r="B112" s="340"/>
      <c r="C112" s="328"/>
      <c r="D112" s="324"/>
      <c r="E112" s="341"/>
      <c r="F112" s="323"/>
      <c r="G112" s="330"/>
      <c r="H112" s="342"/>
    </row>
    <row r="113" spans="1:9" ht="15" customHeight="1" x14ac:dyDescent="0.2">
      <c r="A113" s="405"/>
      <c r="B113" s="332"/>
      <c r="C113" s="323"/>
      <c r="D113" s="324"/>
      <c r="E113" s="324"/>
      <c r="F113" s="323"/>
      <c r="G113" s="325"/>
      <c r="H113" s="342"/>
    </row>
    <row r="114" spans="1:9" ht="17.25" x14ac:dyDescent="0.2">
      <c r="A114" s="403" t="s">
        <v>373</v>
      </c>
      <c r="B114" s="340">
        <f>SUM(B115:B118)</f>
        <v>0</v>
      </c>
      <c r="C114" s="328">
        <f>SUM(C115:C117)</f>
        <v>0</v>
      </c>
      <c r="D114" s="329">
        <f>SUM(D115:D117)</f>
        <v>0</v>
      </c>
      <c r="E114" s="329">
        <f>SUM(E115:E117)</f>
        <v>0</v>
      </c>
      <c r="F114" s="328">
        <f>SUM(F115:F117)</f>
        <v>0</v>
      </c>
      <c r="G114" s="330" t="e">
        <f>F114/#REF!</f>
        <v>#REF!</v>
      </c>
      <c r="H114" s="342"/>
    </row>
    <row r="115" spans="1:9" ht="15" customHeight="1" x14ac:dyDescent="0.2">
      <c r="A115" s="405" t="s">
        <v>374</v>
      </c>
      <c r="B115" s="332"/>
      <c r="C115" s="323"/>
      <c r="D115" s="324"/>
      <c r="E115" s="324"/>
      <c r="F115" s="323"/>
      <c r="G115" s="362" t="e">
        <f>F115/#REF!</f>
        <v>#REF!</v>
      </c>
      <c r="H115" s="342"/>
    </row>
    <row r="116" spans="1:9" ht="12" customHeight="1" x14ac:dyDescent="0.2">
      <c r="A116" s="405" t="s">
        <v>375</v>
      </c>
      <c r="B116" s="332"/>
      <c r="C116" s="335"/>
      <c r="D116" s="324"/>
      <c r="E116" s="324"/>
      <c r="F116" s="335"/>
      <c r="G116" s="344" t="e">
        <f>F116/#REF!</f>
        <v>#REF!</v>
      </c>
      <c r="H116" s="342"/>
    </row>
    <row r="117" spans="1:9" ht="15" customHeight="1" x14ac:dyDescent="0.2">
      <c r="A117" s="405" t="s">
        <v>376</v>
      </c>
      <c r="B117" s="332"/>
      <c r="C117" s="335"/>
      <c r="D117" s="324"/>
      <c r="E117" s="324"/>
      <c r="F117" s="335"/>
      <c r="G117" s="325" t="e">
        <f>F117/#REF!</f>
        <v>#REF!</v>
      </c>
      <c r="H117" s="342"/>
      <c r="I117" s="334" t="s">
        <v>377</v>
      </c>
    </row>
    <row r="118" spans="1:9" ht="13.5" customHeight="1" thickBot="1" x14ac:dyDescent="0.25">
      <c r="A118" s="407" t="s">
        <v>378</v>
      </c>
      <c r="B118" s="363"/>
      <c r="C118" s="364"/>
      <c r="D118" s="365"/>
      <c r="E118" s="366"/>
      <c r="F118" s="367"/>
      <c r="G118" s="368" t="e">
        <f>F118/#REF!</f>
        <v>#REF!</v>
      </c>
      <c r="H118" s="369"/>
    </row>
    <row r="119" spans="1:9" ht="12.75" x14ac:dyDescent="0.2">
      <c r="B119" s="352"/>
      <c r="C119" s="370"/>
      <c r="D119" s="370"/>
      <c r="E119" s="370"/>
      <c r="F119" s="370"/>
      <c r="G119" s="371"/>
    </row>
    <row r="120" spans="1:9" ht="12.75" x14ac:dyDescent="0.2">
      <c r="A120" s="395" t="s">
        <v>387</v>
      </c>
      <c r="B120" s="352"/>
      <c r="C120" s="372">
        <f>C68-C12</f>
        <v>-9337.0154367913638</v>
      </c>
      <c r="D120" s="372">
        <f>D68-D12+D108</f>
        <v>-26748.943471969069</v>
      </c>
      <c r="E120" s="372">
        <f t="shared" ref="E120:G120" si="6">E68-E12+E108</f>
        <v>16145.922339142773</v>
      </c>
      <c r="F120" s="372">
        <f t="shared" si="6"/>
        <v>-28553.283895000004</v>
      </c>
      <c r="G120" s="372" t="e">
        <f t="shared" si="6"/>
        <v>#REF!</v>
      </c>
    </row>
    <row r="121" spans="1:9" ht="15" customHeight="1" x14ac:dyDescent="0.25">
      <c r="A121" s="409" t="s">
        <v>379</v>
      </c>
      <c r="B121" s="373"/>
      <c r="C121" s="373"/>
      <c r="D121" s="373"/>
      <c r="E121" s="373"/>
      <c r="F121" s="374"/>
    </row>
    <row r="122" spans="1:9" ht="15" customHeight="1" x14ac:dyDescent="0.25">
      <c r="A122" s="410" t="s">
        <v>380</v>
      </c>
      <c r="B122" s="352"/>
      <c r="C122" s="352"/>
      <c r="D122" s="352"/>
      <c r="E122" s="352"/>
      <c r="F122" s="376"/>
    </row>
    <row r="123" spans="1:9" ht="15" customHeight="1" x14ac:dyDescent="0.25">
      <c r="A123" s="410" t="s">
        <v>381</v>
      </c>
      <c r="B123" s="352"/>
      <c r="C123" s="352"/>
      <c r="D123" s="352"/>
      <c r="E123" s="352"/>
      <c r="F123" s="376"/>
    </row>
    <row r="124" spans="1:9" ht="15" customHeight="1" x14ac:dyDescent="0.25">
      <c r="A124" s="411" t="s">
        <v>382</v>
      </c>
      <c r="B124" s="377"/>
      <c r="C124" s="377"/>
      <c r="D124" s="377"/>
      <c r="E124" s="377"/>
      <c r="F124" s="378"/>
    </row>
    <row r="125" spans="1:9" s="385" customFormat="1" ht="15" customHeight="1" x14ac:dyDescent="0.2">
      <c r="A125" s="412" t="s">
        <v>383</v>
      </c>
      <c r="B125" s="379"/>
      <c r="C125" s="379"/>
      <c r="D125" s="379"/>
      <c r="E125" s="380"/>
      <c r="F125" s="381"/>
      <c r="G125" s="382"/>
      <c r="H125" s="383"/>
      <c r="I125" s="384"/>
    </row>
    <row r="126" spans="1:9" s="385" customFormat="1" ht="15" customHeight="1" x14ac:dyDescent="0.2">
      <c r="A126" s="413" t="s">
        <v>384</v>
      </c>
      <c r="B126" s="386"/>
      <c r="C126" s="386"/>
      <c r="D126" s="386"/>
      <c r="E126" s="387"/>
      <c r="F126" s="388"/>
      <c r="G126" s="382"/>
      <c r="H126" s="383"/>
      <c r="I126" s="384"/>
    </row>
    <row r="130" spans="1:7" ht="12.75" x14ac:dyDescent="0.2">
      <c r="C130" s="435"/>
      <c r="D130" s="435"/>
      <c r="E130" s="435"/>
      <c r="F130" s="435">
        <f t="shared" ref="F130:G130" si="7">F18+F31+F34+F15+F61</f>
        <v>41226.839675324678</v>
      </c>
      <c r="G130" s="435" t="e">
        <f t="shared" si="7"/>
        <v>#REF!</v>
      </c>
    </row>
    <row r="131" spans="1:7" x14ac:dyDescent="0.25">
      <c r="A131" s="430" t="s">
        <v>31</v>
      </c>
      <c r="B131" s="430"/>
      <c r="C131" s="431">
        <f>SUM(C132:C156)</f>
        <v>36319.47327922078</v>
      </c>
      <c r="D131" s="431">
        <f t="shared" ref="D131:E131" si="8">SUM(D132:D156)</f>
        <v>61352.118116883117</v>
      </c>
      <c r="E131" s="431">
        <f t="shared" si="8"/>
        <v>76361.371491883125</v>
      </c>
    </row>
    <row r="132" spans="1:7" x14ac:dyDescent="0.25">
      <c r="A132" s="289" t="str">
        <f>A15</f>
        <v>Salariés détachés - administration courante</v>
      </c>
      <c r="B132" s="289">
        <f t="shared" ref="B132:E133" si="9">B15</f>
        <v>0</v>
      </c>
      <c r="C132" s="335">
        <f t="shared" si="9"/>
        <v>6204.4732792207797</v>
      </c>
      <c r="D132" s="335">
        <f t="shared" si="9"/>
        <v>24817.893116883119</v>
      </c>
      <c r="E132" s="335">
        <f t="shared" si="9"/>
        <v>24817.893116883119</v>
      </c>
    </row>
    <row r="133" spans="1:7" x14ac:dyDescent="0.25">
      <c r="A133" s="289" t="str">
        <f>A16</f>
        <v>Salariés détachés - assistance administrative</v>
      </c>
      <c r="B133" s="289">
        <f t="shared" si="9"/>
        <v>0</v>
      </c>
      <c r="C133" s="335">
        <f t="shared" si="9"/>
        <v>4851</v>
      </c>
      <c r="D133" s="335">
        <f t="shared" si="9"/>
        <v>0</v>
      </c>
      <c r="E133" s="335">
        <f t="shared" si="9"/>
        <v>0</v>
      </c>
    </row>
    <row r="134" spans="1:7" x14ac:dyDescent="0.25">
      <c r="A134" s="429" t="str">
        <f>A19</f>
        <v>606300 - Fournitures entretien, petit équipement</v>
      </c>
      <c r="B134" s="429">
        <f t="shared" ref="B134:E134" si="10">B19</f>
        <v>0</v>
      </c>
      <c r="C134" s="335">
        <f t="shared" si="10"/>
        <v>200</v>
      </c>
      <c r="D134" s="335">
        <f t="shared" si="10"/>
        <v>500</v>
      </c>
      <c r="E134" s="335">
        <f t="shared" si="10"/>
        <v>500</v>
      </c>
    </row>
    <row r="135" spans="1:7" x14ac:dyDescent="0.25">
      <c r="A135" s="429" t="str">
        <f>A20</f>
        <v>606400 - Fournitures administratives</v>
      </c>
      <c r="B135" s="429">
        <f>B20</f>
        <v>0</v>
      </c>
      <c r="C135" s="335">
        <f>C20</f>
        <v>0</v>
      </c>
      <c r="D135" s="335">
        <f>D20</f>
        <v>0</v>
      </c>
      <c r="E135" s="335">
        <f>E20</f>
        <v>0</v>
      </c>
    </row>
    <row r="136" spans="1:7" x14ac:dyDescent="0.25">
      <c r="A136" s="429" t="str">
        <f>A21</f>
        <v>606600 - Carburant</v>
      </c>
      <c r="B136" s="429">
        <f>B21</f>
        <v>0</v>
      </c>
      <c r="C136" s="335">
        <f>C21</f>
        <v>500</v>
      </c>
      <c r="D136" s="335">
        <f>D21</f>
        <v>1120</v>
      </c>
      <c r="E136" s="335">
        <f>E21</f>
        <v>2396.8000000000002</v>
      </c>
    </row>
    <row r="137" spans="1:7" x14ac:dyDescent="0.25">
      <c r="A137" s="429" t="str">
        <f>A22</f>
        <v>613520 - Location moyens informatiques</v>
      </c>
      <c r="B137" s="429">
        <f>B22</f>
        <v>0</v>
      </c>
      <c r="C137" s="335">
        <f>C22</f>
        <v>1775</v>
      </c>
      <c r="D137" s="335">
        <f>D22</f>
        <v>1100</v>
      </c>
      <c r="E137" s="335">
        <f>E22</f>
        <v>1100</v>
      </c>
    </row>
    <row r="138" spans="1:7" x14ac:dyDescent="0.25">
      <c r="A138" s="429" t="str">
        <f>A23</f>
        <v>615520 - Entretien, réparation matériel de bureau</v>
      </c>
      <c r="B138" s="429">
        <f>B23</f>
        <v>0</v>
      </c>
      <c r="C138" s="335">
        <f>C23</f>
        <v>0</v>
      </c>
      <c r="D138" s="335">
        <f>D23</f>
        <v>0</v>
      </c>
      <c r="E138" s="335">
        <f>E23</f>
        <v>0</v>
      </c>
    </row>
    <row r="139" spans="1:7" x14ac:dyDescent="0.25">
      <c r="A139" s="429" t="str">
        <f>A24</f>
        <v>615550 - Entretien véhicule</v>
      </c>
      <c r="B139" s="429">
        <f>B24</f>
        <v>0</v>
      </c>
      <c r="C139" s="335">
        <f>C24</f>
        <v>0</v>
      </c>
      <c r="D139" s="335">
        <f>D24</f>
        <v>0</v>
      </c>
      <c r="E139" s="335">
        <f>E24</f>
        <v>0</v>
      </c>
    </row>
    <row r="140" spans="1:7" x14ac:dyDescent="0.25">
      <c r="A140" s="429" t="str">
        <f>A25</f>
        <v>6155XX - Location véhicule</v>
      </c>
      <c r="B140" s="429">
        <f>B25</f>
        <v>0</v>
      </c>
      <c r="C140" s="335">
        <f>C25</f>
        <v>1000</v>
      </c>
      <c r="D140" s="335">
        <f>D25</f>
        <v>2000</v>
      </c>
      <c r="E140" s="335">
        <f>E25</f>
        <v>4000</v>
      </c>
    </row>
    <row r="141" spans="1:7" x14ac:dyDescent="0.25">
      <c r="A141" s="429" t="str">
        <f>A26</f>
        <v>616000 - Primes d'assurance</v>
      </c>
      <c r="B141" s="429">
        <f>B26</f>
        <v>0</v>
      </c>
      <c r="C141" s="335">
        <f>C26</f>
        <v>1015</v>
      </c>
      <c r="D141" s="335">
        <f>D26</f>
        <v>2030.2249999999999</v>
      </c>
      <c r="E141" s="335">
        <f>E26</f>
        <v>4060.6783749999995</v>
      </c>
    </row>
    <row r="142" spans="1:7" x14ac:dyDescent="0.25">
      <c r="A142" s="429" t="str">
        <f>A27</f>
        <v>626100 - Affranchissements</v>
      </c>
      <c r="B142" s="429">
        <f>B27</f>
        <v>0</v>
      </c>
      <c r="C142" s="335">
        <f>C27</f>
        <v>300</v>
      </c>
      <c r="D142" s="335">
        <f>D27</f>
        <v>0</v>
      </c>
      <c r="E142" s="335">
        <f>E27</f>
        <v>0</v>
      </c>
    </row>
    <row r="143" spans="1:7" x14ac:dyDescent="0.25">
      <c r="A143" s="429" t="str">
        <f>A28</f>
        <v>626200 - Téléphone</v>
      </c>
      <c r="B143" s="429">
        <f>B28</f>
        <v>0</v>
      </c>
      <c r="C143" s="335">
        <f>C28</f>
        <v>500</v>
      </c>
      <c r="D143" s="335">
        <f>D28</f>
        <v>0</v>
      </c>
      <c r="E143" s="335">
        <f>E28</f>
        <v>0</v>
      </c>
    </row>
    <row r="144" spans="1:7" x14ac:dyDescent="0.25">
      <c r="A144" s="429" t="str">
        <f>A29</f>
        <v>626210 - Abonnement internet</v>
      </c>
      <c r="B144" s="429">
        <f>B29</f>
        <v>0</v>
      </c>
      <c r="C144" s="335">
        <f>C29</f>
        <v>0</v>
      </c>
      <c r="D144" s="335">
        <f>D29</f>
        <v>0</v>
      </c>
      <c r="E144" s="335">
        <f>E29</f>
        <v>0</v>
      </c>
    </row>
    <row r="145" spans="1:5" x14ac:dyDescent="0.25">
      <c r="A145" s="429" t="str">
        <f>A30</f>
        <v>627800 - Prestations de services bancaires</v>
      </c>
      <c r="B145" s="429">
        <f>B30</f>
        <v>0</v>
      </c>
      <c r="C145" s="335">
        <f>C30</f>
        <v>264</v>
      </c>
      <c r="D145" s="335">
        <f>D30</f>
        <v>264</v>
      </c>
      <c r="E145" s="335">
        <f>E30</f>
        <v>264</v>
      </c>
    </row>
    <row r="146" spans="1:5" x14ac:dyDescent="0.25">
      <c r="A146" s="429" t="str">
        <f>A32</f>
        <v>623700 - Publications</v>
      </c>
      <c r="B146" s="429">
        <f t="shared" ref="B146:E146" si="11">B32</f>
        <v>0</v>
      </c>
      <c r="C146" s="335">
        <f t="shared" si="11"/>
        <v>0</v>
      </c>
      <c r="D146" s="335">
        <f t="shared" si="11"/>
        <v>0</v>
      </c>
      <c r="E146" s="335">
        <f t="shared" si="11"/>
        <v>0</v>
      </c>
    </row>
    <row r="147" spans="1:5" x14ac:dyDescent="0.25">
      <c r="A147" s="429" t="str">
        <f>A33</f>
        <v>623710 - Communication</v>
      </c>
      <c r="B147" s="429">
        <f t="shared" ref="B147:E147" si="12">B33</f>
        <v>0</v>
      </c>
      <c r="C147" s="335">
        <f t="shared" si="12"/>
        <v>0</v>
      </c>
      <c r="D147" s="335">
        <f t="shared" si="12"/>
        <v>0</v>
      </c>
      <c r="E147" s="335">
        <f t="shared" si="12"/>
        <v>0</v>
      </c>
    </row>
    <row r="148" spans="1:5" x14ac:dyDescent="0.25">
      <c r="A148" s="429" t="str">
        <f>A36</f>
        <v>618510 - Services extérieurs divers</v>
      </c>
      <c r="B148" s="429">
        <f t="shared" ref="B148:E148" si="13">B36</f>
        <v>0</v>
      </c>
      <c r="C148" s="335">
        <f t="shared" si="13"/>
        <v>0</v>
      </c>
      <c r="D148" s="335">
        <f t="shared" si="13"/>
        <v>0</v>
      </c>
      <c r="E148" s="335">
        <f t="shared" si="13"/>
        <v>0</v>
      </c>
    </row>
    <row r="149" spans="1:5" x14ac:dyDescent="0.25">
      <c r="A149" s="429" t="str">
        <f>A37</f>
        <v>621000 - Personnel extérieur</v>
      </c>
      <c r="B149" s="429">
        <f>B37</f>
        <v>0</v>
      </c>
      <c r="C149" s="335">
        <f>C37</f>
        <v>0</v>
      </c>
      <c r="D149" s="335">
        <f>D37</f>
        <v>0</v>
      </c>
      <c r="E149" s="335">
        <f>E37</f>
        <v>0</v>
      </c>
    </row>
    <row r="150" spans="1:5" x14ac:dyDescent="0.25">
      <c r="A150" s="429" t="str">
        <f>A38</f>
        <v>622600 - Honoraires Commissaire aux comptes</v>
      </c>
      <c r="B150" s="429">
        <f>B38</f>
        <v>0</v>
      </c>
      <c r="C150" s="335">
        <f>C38</f>
        <v>4800</v>
      </c>
      <c r="D150" s="335">
        <f>D38</f>
        <v>4800</v>
      </c>
      <c r="E150" s="335">
        <f>E38</f>
        <v>4800</v>
      </c>
    </row>
    <row r="151" spans="1:5" x14ac:dyDescent="0.25">
      <c r="A151" s="429" t="str">
        <f>A39</f>
        <v>622610 - Honoraires comptables</v>
      </c>
      <c r="B151" s="429">
        <f>B39</f>
        <v>0</v>
      </c>
      <c r="C151" s="335">
        <f>C39</f>
        <v>2600</v>
      </c>
      <c r="D151" s="335">
        <f>D39</f>
        <v>5200</v>
      </c>
      <c r="E151" s="335">
        <f>E39</f>
        <v>14902</v>
      </c>
    </row>
    <row r="152" spans="1:5" x14ac:dyDescent="0.25">
      <c r="A152" s="429" t="str">
        <f>A40</f>
        <v>622620 - Honoraires avocat</v>
      </c>
      <c r="B152" s="429">
        <f>B40</f>
        <v>0</v>
      </c>
      <c r="C152" s="335">
        <f>C40</f>
        <v>9610</v>
      </c>
      <c r="D152" s="335">
        <f>D40</f>
        <v>17220</v>
      </c>
      <c r="E152" s="335">
        <f>E40</f>
        <v>17220</v>
      </c>
    </row>
    <row r="153" spans="1:5" x14ac:dyDescent="0.25">
      <c r="A153" s="429" t="str">
        <f>A41</f>
        <v>622XXX - Frais d'établissement</v>
      </c>
      <c r="B153" s="429">
        <f>B41</f>
        <v>0</v>
      </c>
      <c r="C153" s="335">
        <f>C41</f>
        <v>1500</v>
      </c>
      <c r="D153" s="335">
        <f>D41</f>
        <v>0</v>
      </c>
      <c r="E153" s="335">
        <f>E41</f>
        <v>0</v>
      </c>
    </row>
    <row r="154" spans="1:5" ht="14.25" customHeight="1" x14ac:dyDescent="0.25">
      <c r="A154" s="429" t="str">
        <f>A42</f>
        <v>622700 - Frais acte et de contentieux</v>
      </c>
      <c r="B154" s="429">
        <f t="shared" ref="B154:E154" si="14">B42</f>
        <v>0</v>
      </c>
      <c r="C154" s="335">
        <f t="shared" si="14"/>
        <v>0</v>
      </c>
      <c r="D154" s="335">
        <f t="shared" si="14"/>
        <v>0</v>
      </c>
      <c r="E154" s="335">
        <f t="shared" si="14"/>
        <v>0</v>
      </c>
    </row>
    <row r="155" spans="1:5" x14ac:dyDescent="0.25">
      <c r="A155" s="429"/>
      <c r="B155" s="429"/>
      <c r="C155" s="335"/>
      <c r="D155" s="335"/>
      <c r="E155" s="335"/>
    </row>
    <row r="156" spans="1:5" x14ac:dyDescent="0.25">
      <c r="A156" s="429" t="str">
        <f>A62</f>
        <v>63 - Impôts et taxes</v>
      </c>
      <c r="B156" s="429">
        <f t="shared" ref="B156:E156" si="15">B62</f>
        <v>0</v>
      </c>
      <c r="C156" s="335">
        <f t="shared" si="15"/>
        <v>1200</v>
      </c>
      <c r="D156" s="335">
        <f t="shared" si="15"/>
        <v>2300</v>
      </c>
      <c r="E156" s="335">
        <f t="shared" si="15"/>
        <v>2300</v>
      </c>
    </row>
  </sheetData>
  <mergeCells count="1">
    <mergeCell ref="A1:H1"/>
  </mergeCells>
  <pageMargins left="0.19685040414333344" right="0.19685040414333344" top="0.39370080828666687" bottom="0.39370080828666687" header="0" footer="0"/>
  <pageSetup paperSize="8" scale="47" orientation="portrait" r:id="rId1"/>
  <headerFooter alignWithMargins="0">
    <oddFooter xml:space="preserve">&amp;R&amp;"Tahoma,Normal"&amp;8 1/1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6"/>
  <sheetViews>
    <sheetView workbookViewId="0">
      <pane ySplit="3" topLeftCell="A19" activePane="bottomLeft" state="frozen"/>
      <selection activeCell="A16" sqref="A16"/>
      <selection pane="bottomLeft" activeCell="C34" sqref="C34"/>
    </sheetView>
  </sheetViews>
  <sheetFormatPr baseColWidth="10" defaultRowHeight="15" x14ac:dyDescent="0.25"/>
  <cols>
    <col min="1" max="1" width="22.85546875" customWidth="1"/>
    <col min="2" max="2" width="11.42578125" customWidth="1"/>
    <col min="3" max="6" width="12.85546875" style="4" bestFit="1" customWidth="1"/>
    <col min="7" max="7" width="12.85546875" bestFit="1" customWidth="1"/>
    <col min="10" max="12" width="11.85546875" bestFit="1" customWidth="1"/>
  </cols>
  <sheetData>
    <row r="1" spans="1:8" x14ac:dyDescent="0.25">
      <c r="A1" t="s">
        <v>0</v>
      </c>
    </row>
    <row r="3" spans="1:8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8" ht="15.75" x14ac:dyDescent="0.25">
      <c r="A4" s="554" t="s">
        <v>1</v>
      </c>
      <c r="B4" s="554"/>
      <c r="C4" s="11"/>
      <c r="D4" s="11"/>
      <c r="E4" s="11"/>
      <c r="F4" s="11"/>
      <c r="G4" s="12"/>
    </row>
    <row r="5" spans="1:8" x14ac:dyDescent="0.25">
      <c r="A5" s="7" t="s">
        <v>6</v>
      </c>
    </row>
    <row r="6" spans="1:8" x14ac:dyDescent="0.25">
      <c r="A6" t="s">
        <v>2</v>
      </c>
      <c r="B6" t="s">
        <v>3</v>
      </c>
      <c r="C6" s="4">
        <f>'F1'!C10+'F1'!C20</f>
        <v>1600</v>
      </c>
      <c r="D6" s="4">
        <f>'F1'!D10+'F1'!D20</f>
        <v>4400</v>
      </c>
      <c r="E6" s="4">
        <f>'F1'!E10+'F1'!E20</f>
        <v>6000</v>
      </c>
      <c r="F6" s="4">
        <f>'F1'!F10+'F1'!F20</f>
        <v>6000</v>
      </c>
      <c r="G6" s="4">
        <f>'F1'!G10+'F1'!G20</f>
        <v>6000</v>
      </c>
    </row>
    <row r="7" spans="1:8" x14ac:dyDescent="0.25">
      <c r="A7" t="s">
        <v>4</v>
      </c>
      <c r="B7" t="s"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8" x14ac:dyDescent="0.25">
      <c r="G8" s="4"/>
    </row>
    <row r="9" spans="1:8" x14ac:dyDescent="0.25">
      <c r="A9" s="274" t="s">
        <v>2</v>
      </c>
      <c r="B9" s="2" t="s">
        <v>13</v>
      </c>
      <c r="C9" s="13">
        <f>'F1'!C10*'F1'!C9+'F1'!C20*'F1'!C19</f>
        <v>38200</v>
      </c>
      <c r="D9" s="13">
        <f>'F1'!D10*'F1'!D9+'F1'!D20*'F1'!D19</f>
        <v>103626</v>
      </c>
      <c r="E9" s="13">
        <f>'F1'!E10*'F1'!E9+'F1'!E20*'F1'!E19</f>
        <v>143630.08000000002</v>
      </c>
      <c r="F9" s="13">
        <f>'F1'!F10*'F1'!F9+'F1'!F20*'F1'!F19</f>
        <v>145066.38079999998</v>
      </c>
      <c r="G9" s="13">
        <f>'F1'!G10*'F1'!G9+'F1'!G20*'F1'!G19</f>
        <v>146517.044608</v>
      </c>
      <c r="H9" s="283">
        <f>SUM(H10:H12)</f>
        <v>1</v>
      </c>
    </row>
    <row r="10" spans="1:8" x14ac:dyDescent="0.25">
      <c r="A10" s="282" t="s">
        <v>257</v>
      </c>
      <c r="B10" s="2"/>
      <c r="C10" s="13">
        <f>C$9*$H10</f>
        <v>15280</v>
      </c>
      <c r="D10" s="13">
        <f t="shared" ref="D10:G10" si="0">D$9*$H10</f>
        <v>41450.400000000001</v>
      </c>
      <c r="E10" s="13">
        <f t="shared" si="0"/>
        <v>57452.032000000007</v>
      </c>
      <c r="F10" s="13">
        <f t="shared" si="0"/>
        <v>58026.552319999995</v>
      </c>
      <c r="G10" s="13">
        <f t="shared" si="0"/>
        <v>58606.817843199999</v>
      </c>
      <c r="H10" s="284">
        <v>0.4</v>
      </c>
    </row>
    <row r="11" spans="1:8" x14ac:dyDescent="0.25">
      <c r="A11" s="282" t="s">
        <v>258</v>
      </c>
      <c r="B11" s="2"/>
      <c r="C11" s="13">
        <f t="shared" ref="C11:G12" si="1">C$9*$H11</f>
        <v>8786</v>
      </c>
      <c r="D11" s="13">
        <f t="shared" si="1"/>
        <v>23833.98</v>
      </c>
      <c r="E11" s="13">
        <f t="shared" si="1"/>
        <v>33034.918400000002</v>
      </c>
      <c r="F11" s="13">
        <f t="shared" si="1"/>
        <v>33365.267584000001</v>
      </c>
      <c r="G11" s="13">
        <f t="shared" si="1"/>
        <v>33698.920259840001</v>
      </c>
      <c r="H11" s="284">
        <v>0.23</v>
      </c>
    </row>
    <row r="12" spans="1:8" x14ac:dyDescent="0.25">
      <c r="A12" s="282" t="s">
        <v>259</v>
      </c>
      <c r="B12" s="2"/>
      <c r="C12" s="13">
        <f t="shared" si="1"/>
        <v>14134</v>
      </c>
      <c r="D12" s="13">
        <f t="shared" si="1"/>
        <v>38341.620000000003</v>
      </c>
      <c r="E12" s="13">
        <f t="shared" si="1"/>
        <v>53143.129600000007</v>
      </c>
      <c r="F12" s="13">
        <f t="shared" si="1"/>
        <v>53674.560895999995</v>
      </c>
      <c r="G12" s="13">
        <f t="shared" si="1"/>
        <v>54211.306504959997</v>
      </c>
      <c r="H12" s="284">
        <v>0.37</v>
      </c>
    </row>
    <row r="13" spans="1:8" x14ac:dyDescent="0.25">
      <c r="A13" t="s">
        <v>4</v>
      </c>
      <c r="B13" s="2" t="s">
        <v>13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5" spans="1:8" x14ac:dyDescent="0.25">
      <c r="A15" s="7" t="s">
        <v>260</v>
      </c>
    </row>
    <row r="16" spans="1:8" x14ac:dyDescent="0.25">
      <c r="A16" s="6" t="s">
        <v>8</v>
      </c>
      <c r="B16" t="s">
        <v>9</v>
      </c>
    </row>
    <row r="17" spans="1:12" x14ac:dyDescent="0.25">
      <c r="A17" s="3" t="s">
        <v>10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12" x14ac:dyDescent="0.25">
      <c r="A18" s="3" t="s">
        <v>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12" x14ac:dyDescent="0.25">
      <c r="A19" s="3" t="s">
        <v>12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1" spans="1:12" x14ac:dyDescent="0.25">
      <c r="A21" s="6" t="s">
        <v>8</v>
      </c>
      <c r="B21" s="2" t="s">
        <v>13</v>
      </c>
    </row>
    <row r="22" spans="1:12" x14ac:dyDescent="0.25">
      <c r="A22" s="3" t="s">
        <v>10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12" x14ac:dyDescent="0.25">
      <c r="A23" s="3" t="s">
        <v>11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5" spans="1:12" x14ac:dyDescent="0.25">
      <c r="A25" s="6" t="s">
        <v>14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7" spans="1:12" x14ac:dyDescent="0.25">
      <c r="A27" s="7" t="s">
        <v>15</v>
      </c>
    </row>
    <row r="28" spans="1:12" x14ac:dyDescent="0.25">
      <c r="A28" t="s">
        <v>16</v>
      </c>
      <c r="B28" s="2" t="s">
        <v>13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30" spans="1:12" x14ac:dyDescent="0.25">
      <c r="A30" s="7" t="s">
        <v>17</v>
      </c>
      <c r="B30" s="2" t="s">
        <v>13</v>
      </c>
      <c r="C30" s="13">
        <v>0</v>
      </c>
      <c r="D30" s="13">
        <v>0</v>
      </c>
      <c r="E30" s="13">
        <f>'F1'!E162</f>
        <v>20000</v>
      </c>
      <c r="F30" s="13">
        <f>'F1'!F162</f>
        <v>55638.350720317932</v>
      </c>
      <c r="G30" s="13">
        <f>'F1'!G162</f>
        <v>55638.350720317932</v>
      </c>
      <c r="H30" t="s">
        <v>261</v>
      </c>
    </row>
    <row r="32" spans="1:12" x14ac:dyDescent="0.25">
      <c r="A32" s="7" t="s">
        <v>18</v>
      </c>
      <c r="B32" s="2" t="s">
        <v>13</v>
      </c>
      <c r="C32" s="13">
        <f>'F1'!C192*'F1'!C251</f>
        <v>0</v>
      </c>
      <c r="D32" s="13">
        <f>'F1'!D192*'F1'!D251</f>
        <v>0</v>
      </c>
      <c r="E32" s="13">
        <f>'F1'!E192*'F1'!E251</f>
        <v>9604.7000000000007</v>
      </c>
      <c r="F32" s="13">
        <f>'F1'!F192*'F1'!F251</f>
        <v>9604.6999999999989</v>
      </c>
      <c r="G32" s="13">
        <f>'F1'!G192*'F1'!G251</f>
        <v>9604.6999999999989</v>
      </c>
      <c r="J32" s="392">
        <f>'F1'!C192*'F1'!C251</f>
        <v>0</v>
      </c>
      <c r="K32" s="392">
        <f>'F1'!D192*'F1'!D251</f>
        <v>0</v>
      </c>
      <c r="L32" s="392">
        <f>'F1'!E192*'F1'!E251</f>
        <v>9604.7000000000007</v>
      </c>
    </row>
    <row r="33" spans="1:14" x14ac:dyDescent="0.25">
      <c r="A33" s="8"/>
      <c r="B33" s="9"/>
      <c r="C33" s="434">
        <f>'F4'!C15*C6</f>
        <v>2799.0840000000003</v>
      </c>
      <c r="D33" s="434">
        <f>'F4'!D15*D6</f>
        <v>7851.4306199999983</v>
      </c>
      <c r="E33" s="434">
        <f>'F4'!E15*E6</f>
        <v>10920.626226</v>
      </c>
      <c r="F33" s="434">
        <f>'F4'!F15*F6</f>
        <v>11139.038750519998</v>
      </c>
      <c r="G33" s="434">
        <f>'F4'!G15*G6</f>
        <v>11361.819525530398</v>
      </c>
    </row>
    <row r="34" spans="1:14" x14ac:dyDescent="0.25">
      <c r="A34" s="7" t="s">
        <v>31</v>
      </c>
      <c r="B34" s="15" t="s">
        <v>13</v>
      </c>
      <c r="C34" s="14">
        <f>'F1'!C229*'Bilan financier'!C131</f>
        <v>31582.150677583286</v>
      </c>
      <c r="D34" s="14">
        <f>'F1'!D229*'Bilan financier'!D131</f>
        <v>49623.036712184876</v>
      </c>
      <c r="E34" s="14">
        <f>'F1'!E229*'Bilan financier'!E131</f>
        <v>65080.714339673119</v>
      </c>
      <c r="F34" s="14">
        <f>'F1'!F229*'Bilan financier'!F131</f>
        <v>0</v>
      </c>
      <c r="G34" s="14">
        <f>'F1'!G229*'Bilan financier'!G131</f>
        <v>0</v>
      </c>
      <c r="J34" s="4">
        <f>'F1'!C229*'Bilan financier'!C131</f>
        <v>31582.150677583286</v>
      </c>
      <c r="K34" s="4">
        <f>'F1'!D229*'Bilan financier'!D131</f>
        <v>49623.036712184876</v>
      </c>
      <c r="L34" s="4">
        <f>'F1'!E229*'Bilan financier'!E131</f>
        <v>65080.714339673119</v>
      </c>
      <c r="M34" s="4">
        <f>'F1'!F229*'Bilan financier'!F131</f>
        <v>0</v>
      </c>
      <c r="N34" s="4">
        <f>'F1'!G229*'Bilan financier'!G131</f>
        <v>0</v>
      </c>
    </row>
    <row r="35" spans="1:14" x14ac:dyDescent="0.25">
      <c r="A35" s="7"/>
      <c r="B35" s="15"/>
      <c r="C35" s="434">
        <f>'F4'!C13*'Ville LORIENT'!C6</f>
        <v>37992.643136920226</v>
      </c>
      <c r="D35" s="434">
        <f>'F4'!D13*'Ville LORIENT'!D6</f>
        <v>75488.035332081636</v>
      </c>
      <c r="E35" s="434">
        <f>'F4'!E13*'Ville LORIENT'!E6</f>
        <v>83443.312600479971</v>
      </c>
      <c r="F35" s="434">
        <f>'F4'!F13*'Ville LORIENT'!F6</f>
        <v>53942.253827108412</v>
      </c>
      <c r="G35" s="434">
        <f>'F4'!G13*'Ville LORIENT'!G6</f>
        <v>59591.352117736518</v>
      </c>
      <c r="J35" s="4"/>
      <c r="K35" s="4"/>
      <c r="L35" s="4"/>
      <c r="M35" s="4"/>
      <c r="N35" s="4"/>
    </row>
    <row r="36" spans="1:14" x14ac:dyDescent="0.25">
      <c r="A36" s="555" t="s">
        <v>21</v>
      </c>
      <c r="B36" s="556"/>
      <c r="C36" s="280">
        <f>C9+C13+C22+C23+C25+C28+C30+C32+C34</f>
        <v>69782.150677583282</v>
      </c>
      <c r="D36" s="280">
        <f t="shared" ref="D36:G36" si="2">D9+D13+D22+D23+D25+D28+D30+D32+D34</f>
        <v>153249.03671218487</v>
      </c>
      <c r="E36" s="280">
        <f t="shared" si="2"/>
        <v>238315.49433967314</v>
      </c>
      <c r="F36" s="280">
        <f t="shared" si="2"/>
        <v>210309.43152031791</v>
      </c>
      <c r="G36" s="280">
        <f t="shared" si="2"/>
        <v>211760.09532831796</v>
      </c>
    </row>
    <row r="38" spans="1:14" x14ac:dyDescent="0.25">
      <c r="A38" t="s">
        <v>386</v>
      </c>
      <c r="B38" s="283">
        <v>0.03</v>
      </c>
      <c r="C38" s="392">
        <f>C36*$B$38</f>
        <v>2093.4645203274986</v>
      </c>
      <c r="D38" s="392">
        <f>D36*$B$38</f>
        <v>4597.471101365546</v>
      </c>
      <c r="E38" s="392">
        <f t="shared" ref="E38:G38" si="3">E36*$B$38</f>
        <v>7149.4648301901943</v>
      </c>
      <c r="F38" s="392">
        <f t="shared" si="3"/>
        <v>6309.2829456095369</v>
      </c>
      <c r="G38" s="392">
        <f t="shared" si="3"/>
        <v>6352.8028598495384</v>
      </c>
    </row>
    <row r="39" spans="1:14" s="393" customFormat="1" x14ac:dyDescent="0.25">
      <c r="A39" s="393" t="s">
        <v>276</v>
      </c>
      <c r="C39" s="396">
        <f>C36+C38</f>
        <v>71875.615197910782</v>
      </c>
      <c r="D39" s="396">
        <f t="shared" ref="D39:G39" si="4">D36+D38</f>
        <v>157846.50781355042</v>
      </c>
      <c r="E39" s="396">
        <f t="shared" si="4"/>
        <v>245464.95916986334</v>
      </c>
      <c r="F39" s="396">
        <f t="shared" si="4"/>
        <v>216618.71446592745</v>
      </c>
      <c r="G39" s="396">
        <f t="shared" si="4"/>
        <v>218112.89818816748</v>
      </c>
    </row>
    <row r="40" spans="1:14" x14ac:dyDescent="0.25">
      <c r="C40"/>
      <c r="D40"/>
      <c r="E40"/>
      <c r="F40"/>
    </row>
    <row r="41" spans="1:14" x14ac:dyDescent="0.25">
      <c r="C41"/>
      <c r="D41"/>
      <c r="E41"/>
      <c r="F41"/>
    </row>
    <row r="42" spans="1:14" x14ac:dyDescent="0.25">
      <c r="C42"/>
      <c r="D42"/>
      <c r="E42"/>
      <c r="F42"/>
    </row>
    <row r="43" spans="1:14" x14ac:dyDescent="0.25">
      <c r="C43"/>
      <c r="D43"/>
      <c r="E43"/>
      <c r="F43"/>
    </row>
    <row r="44" spans="1:14" x14ac:dyDescent="0.25">
      <c r="C44"/>
      <c r="D44"/>
      <c r="E44"/>
      <c r="F44"/>
    </row>
    <row r="45" spans="1:14" x14ac:dyDescent="0.25">
      <c r="C45"/>
      <c r="D45"/>
      <c r="E45"/>
      <c r="F45"/>
    </row>
    <row r="46" spans="1:14" x14ac:dyDescent="0.25">
      <c r="C46"/>
      <c r="D46"/>
      <c r="E46"/>
      <c r="F46"/>
    </row>
    <row r="47" spans="1:14" x14ac:dyDescent="0.25">
      <c r="C47"/>
      <c r="D47"/>
      <c r="E47"/>
      <c r="F47"/>
    </row>
    <row r="48" spans="1:14" x14ac:dyDescent="0.25">
      <c r="C48"/>
      <c r="D48"/>
      <c r="E48"/>
      <c r="F48"/>
    </row>
    <row r="49" spans="3:6" x14ac:dyDescent="0.25">
      <c r="C49"/>
      <c r="D49"/>
      <c r="E49"/>
      <c r="F49"/>
    </row>
    <row r="50" spans="3:6" x14ac:dyDescent="0.25">
      <c r="C50"/>
      <c r="D50"/>
      <c r="E50"/>
      <c r="F50"/>
    </row>
    <row r="51" spans="3:6" x14ac:dyDescent="0.25">
      <c r="C51"/>
      <c r="D51"/>
      <c r="E51"/>
      <c r="F51"/>
    </row>
    <row r="52" spans="3:6" x14ac:dyDescent="0.25">
      <c r="C52"/>
      <c r="D52"/>
      <c r="E52"/>
      <c r="F52"/>
    </row>
    <row r="53" spans="3:6" x14ac:dyDescent="0.25">
      <c r="C53"/>
      <c r="D53"/>
      <c r="E53"/>
      <c r="F53"/>
    </row>
    <row r="54" spans="3:6" x14ac:dyDescent="0.25">
      <c r="C54"/>
      <c r="D54"/>
      <c r="E54"/>
      <c r="F54"/>
    </row>
    <row r="55" spans="3:6" x14ac:dyDescent="0.25">
      <c r="C55"/>
      <c r="D55"/>
      <c r="E55"/>
      <c r="F55"/>
    </row>
    <row r="56" spans="3:6" x14ac:dyDescent="0.25">
      <c r="C56"/>
      <c r="D56"/>
      <c r="E56"/>
      <c r="F56"/>
    </row>
    <row r="57" spans="3:6" x14ac:dyDescent="0.25">
      <c r="C57"/>
      <c r="D57"/>
      <c r="E57"/>
      <c r="F57"/>
    </row>
    <row r="58" spans="3:6" x14ac:dyDescent="0.25">
      <c r="C58"/>
      <c r="D58"/>
      <c r="E58"/>
      <c r="F58"/>
    </row>
    <row r="59" spans="3:6" x14ac:dyDescent="0.25">
      <c r="C59"/>
      <c r="D59"/>
      <c r="E59"/>
      <c r="F59"/>
    </row>
    <row r="60" spans="3:6" x14ac:dyDescent="0.25">
      <c r="C60"/>
      <c r="D60"/>
      <c r="E60"/>
      <c r="F60"/>
    </row>
    <row r="61" spans="3:6" x14ac:dyDescent="0.25">
      <c r="C61"/>
      <c r="D61"/>
      <c r="E61"/>
      <c r="F61"/>
    </row>
    <row r="62" spans="3:6" x14ac:dyDescent="0.25">
      <c r="C62"/>
      <c r="D62"/>
      <c r="E62"/>
      <c r="F62"/>
    </row>
    <row r="63" spans="3:6" x14ac:dyDescent="0.25">
      <c r="C63"/>
      <c r="D63"/>
      <c r="E63"/>
      <c r="F63"/>
    </row>
    <row r="64" spans="3:6" x14ac:dyDescent="0.25">
      <c r="C64"/>
      <c r="D64"/>
      <c r="E64"/>
      <c r="F64"/>
    </row>
    <row r="65" spans="3:6" x14ac:dyDescent="0.25">
      <c r="C65"/>
      <c r="D65"/>
      <c r="E65"/>
      <c r="F65"/>
    </row>
    <row r="66" spans="3:6" x14ac:dyDescent="0.25">
      <c r="C66"/>
      <c r="D66"/>
      <c r="E66"/>
      <c r="F66"/>
    </row>
    <row r="67" spans="3:6" x14ac:dyDescent="0.25">
      <c r="C67"/>
      <c r="D67"/>
      <c r="E67"/>
      <c r="F67"/>
    </row>
    <row r="68" spans="3:6" x14ac:dyDescent="0.25">
      <c r="C68"/>
      <c r="D68"/>
      <c r="E68"/>
      <c r="F68"/>
    </row>
    <row r="69" spans="3:6" x14ac:dyDescent="0.25">
      <c r="C69"/>
      <c r="D69"/>
      <c r="E69"/>
      <c r="F69"/>
    </row>
    <row r="70" spans="3:6" x14ac:dyDescent="0.25">
      <c r="C70"/>
      <c r="D70"/>
      <c r="E70"/>
      <c r="F70"/>
    </row>
    <row r="71" spans="3:6" x14ac:dyDescent="0.25">
      <c r="C71"/>
      <c r="D71"/>
      <c r="E71"/>
      <c r="F71"/>
    </row>
    <row r="72" spans="3:6" x14ac:dyDescent="0.25">
      <c r="C72"/>
      <c r="D72"/>
      <c r="E72"/>
      <c r="F72"/>
    </row>
    <row r="73" spans="3:6" x14ac:dyDescent="0.25">
      <c r="C73"/>
      <c r="D73"/>
      <c r="E73"/>
      <c r="F73"/>
    </row>
    <row r="74" spans="3:6" x14ac:dyDescent="0.25">
      <c r="C74"/>
      <c r="D74"/>
      <c r="E74"/>
      <c r="F74"/>
    </row>
    <row r="75" spans="3:6" x14ac:dyDescent="0.25">
      <c r="C75"/>
      <c r="D75"/>
      <c r="E75"/>
      <c r="F75"/>
    </row>
    <row r="76" spans="3:6" x14ac:dyDescent="0.25">
      <c r="C76"/>
      <c r="D76"/>
      <c r="E76"/>
      <c r="F76"/>
    </row>
    <row r="77" spans="3:6" x14ac:dyDescent="0.25">
      <c r="C77"/>
      <c r="D77"/>
      <c r="E77"/>
      <c r="F77"/>
    </row>
    <row r="78" spans="3:6" x14ac:dyDescent="0.25">
      <c r="C78"/>
      <c r="D78"/>
      <c r="E78"/>
      <c r="F78"/>
    </row>
    <row r="79" spans="3:6" x14ac:dyDescent="0.25">
      <c r="C79"/>
      <c r="D79"/>
      <c r="E79"/>
      <c r="F79"/>
    </row>
    <row r="80" spans="3:6" x14ac:dyDescent="0.25">
      <c r="C80"/>
      <c r="D80"/>
      <c r="E80"/>
      <c r="F80"/>
    </row>
    <row r="81" spans="3:6" x14ac:dyDescent="0.25">
      <c r="C81"/>
      <c r="D81"/>
      <c r="E81"/>
      <c r="F81"/>
    </row>
    <row r="82" spans="3:6" x14ac:dyDescent="0.25">
      <c r="C82"/>
      <c r="D82"/>
      <c r="E82"/>
      <c r="F82"/>
    </row>
    <row r="83" spans="3:6" x14ac:dyDescent="0.25">
      <c r="C83"/>
      <c r="D83"/>
      <c r="E83"/>
      <c r="F83"/>
    </row>
    <row r="84" spans="3:6" x14ac:dyDescent="0.25">
      <c r="C84"/>
      <c r="D84"/>
      <c r="E84"/>
      <c r="F84"/>
    </row>
    <row r="85" spans="3:6" x14ac:dyDescent="0.25">
      <c r="C85"/>
      <c r="D85"/>
      <c r="E85"/>
      <c r="F85"/>
    </row>
    <row r="86" spans="3:6" x14ac:dyDescent="0.25">
      <c r="C86"/>
      <c r="D86"/>
      <c r="E86"/>
      <c r="F86"/>
    </row>
    <row r="87" spans="3:6" x14ac:dyDescent="0.25">
      <c r="C87"/>
      <c r="D87"/>
      <c r="E87"/>
      <c r="F87"/>
    </row>
    <row r="88" spans="3:6" x14ac:dyDescent="0.25">
      <c r="C88"/>
      <c r="D88"/>
      <c r="E88"/>
      <c r="F88"/>
    </row>
    <row r="89" spans="3:6" x14ac:dyDescent="0.25">
      <c r="C89"/>
      <c r="D89"/>
      <c r="E89"/>
      <c r="F89"/>
    </row>
    <row r="90" spans="3:6" x14ac:dyDescent="0.25">
      <c r="C90"/>
      <c r="D90"/>
      <c r="E90"/>
      <c r="F90"/>
    </row>
    <row r="91" spans="3:6" x14ac:dyDescent="0.25">
      <c r="C91"/>
      <c r="D91"/>
      <c r="E91"/>
      <c r="F91"/>
    </row>
    <row r="92" spans="3:6" x14ac:dyDescent="0.25">
      <c r="C92"/>
      <c r="D92"/>
      <c r="E92"/>
      <c r="F92"/>
    </row>
    <row r="93" spans="3:6" x14ac:dyDescent="0.25">
      <c r="C93"/>
      <c r="D93"/>
      <c r="E93"/>
      <c r="F93"/>
    </row>
    <row r="94" spans="3:6" x14ac:dyDescent="0.25">
      <c r="C94"/>
      <c r="D94"/>
      <c r="E94"/>
      <c r="F94"/>
    </row>
    <row r="95" spans="3:6" x14ac:dyDescent="0.25">
      <c r="C95"/>
      <c r="D95"/>
      <c r="E95"/>
      <c r="F95"/>
    </row>
    <row r="96" spans="3:6" x14ac:dyDescent="0.25">
      <c r="C96"/>
      <c r="D96"/>
      <c r="E96"/>
      <c r="F96"/>
    </row>
    <row r="97" spans="3:6" x14ac:dyDescent="0.25">
      <c r="C97"/>
      <c r="D97"/>
      <c r="E97"/>
      <c r="F97"/>
    </row>
    <row r="98" spans="3:6" x14ac:dyDescent="0.25">
      <c r="C98"/>
      <c r="D98"/>
      <c r="E98"/>
      <c r="F98"/>
    </row>
    <row r="99" spans="3:6" x14ac:dyDescent="0.25">
      <c r="C99"/>
      <c r="D99"/>
      <c r="E99"/>
      <c r="F99"/>
    </row>
    <row r="100" spans="3:6" x14ac:dyDescent="0.25">
      <c r="C100"/>
      <c r="D100"/>
      <c r="E100"/>
      <c r="F100"/>
    </row>
    <row r="101" spans="3:6" x14ac:dyDescent="0.25">
      <c r="C101"/>
      <c r="D101"/>
      <c r="E101"/>
      <c r="F101"/>
    </row>
    <row r="102" spans="3:6" x14ac:dyDescent="0.25">
      <c r="C102"/>
      <c r="D102"/>
      <c r="E102"/>
      <c r="F102"/>
    </row>
    <row r="103" spans="3:6" x14ac:dyDescent="0.25">
      <c r="C103"/>
      <c r="D103"/>
      <c r="E103"/>
      <c r="F103"/>
    </row>
    <row r="104" spans="3:6" x14ac:dyDescent="0.25">
      <c r="C104"/>
      <c r="D104"/>
      <c r="E104"/>
      <c r="F104"/>
    </row>
    <row r="105" spans="3:6" x14ac:dyDescent="0.25">
      <c r="C105"/>
      <c r="D105"/>
      <c r="E105"/>
      <c r="F105"/>
    </row>
    <row r="106" spans="3:6" x14ac:dyDescent="0.25">
      <c r="C106"/>
      <c r="D106"/>
      <c r="E106"/>
      <c r="F106"/>
    </row>
    <row r="107" spans="3:6" x14ac:dyDescent="0.25">
      <c r="C107"/>
      <c r="D107"/>
      <c r="E107"/>
      <c r="F107"/>
    </row>
    <row r="108" spans="3:6" x14ac:dyDescent="0.25">
      <c r="C108"/>
      <c r="D108"/>
      <c r="E108"/>
      <c r="F108"/>
    </row>
    <row r="109" spans="3:6" x14ac:dyDescent="0.25">
      <c r="C109"/>
      <c r="D109"/>
      <c r="E109"/>
      <c r="F109"/>
    </row>
    <row r="110" spans="3:6" x14ac:dyDescent="0.25">
      <c r="C110"/>
      <c r="D110"/>
      <c r="E110"/>
      <c r="F110"/>
    </row>
    <row r="111" spans="3:6" x14ac:dyDescent="0.25">
      <c r="C111"/>
      <c r="D111"/>
      <c r="E111"/>
      <c r="F111"/>
    </row>
    <row r="112" spans="3:6" x14ac:dyDescent="0.25">
      <c r="C112"/>
      <c r="D112"/>
      <c r="E112"/>
      <c r="F112"/>
    </row>
    <row r="113" spans="3:6" x14ac:dyDescent="0.25">
      <c r="C113"/>
      <c r="D113"/>
      <c r="E113"/>
      <c r="F113"/>
    </row>
    <row r="114" spans="3:6" x14ac:dyDescent="0.25">
      <c r="C114"/>
      <c r="D114"/>
      <c r="E114"/>
      <c r="F114"/>
    </row>
    <row r="115" spans="3:6" x14ac:dyDescent="0.25">
      <c r="C115"/>
      <c r="D115"/>
      <c r="E115"/>
      <c r="F115"/>
    </row>
    <row r="116" spans="3:6" x14ac:dyDescent="0.25">
      <c r="C116"/>
      <c r="D116"/>
      <c r="E116"/>
      <c r="F116"/>
    </row>
    <row r="117" spans="3:6" x14ac:dyDescent="0.25">
      <c r="C117"/>
      <c r="D117"/>
      <c r="E117"/>
      <c r="F117"/>
    </row>
    <row r="118" spans="3:6" x14ac:dyDescent="0.25">
      <c r="C118"/>
      <c r="D118"/>
      <c r="E118"/>
      <c r="F118"/>
    </row>
    <row r="119" spans="3:6" x14ac:dyDescent="0.25">
      <c r="C119"/>
      <c r="D119"/>
      <c r="E119"/>
      <c r="F119"/>
    </row>
    <row r="120" spans="3:6" x14ac:dyDescent="0.25">
      <c r="C120"/>
      <c r="D120"/>
      <c r="E120"/>
      <c r="F120"/>
    </row>
    <row r="121" spans="3:6" x14ac:dyDescent="0.25">
      <c r="C121"/>
      <c r="D121"/>
      <c r="E121"/>
      <c r="F121"/>
    </row>
    <row r="122" spans="3:6" x14ac:dyDescent="0.25">
      <c r="C122"/>
      <c r="D122"/>
      <c r="E122"/>
      <c r="F122"/>
    </row>
    <row r="123" spans="3:6" x14ac:dyDescent="0.25">
      <c r="C123"/>
      <c r="D123"/>
      <c r="E123"/>
      <c r="F123"/>
    </row>
    <row r="124" spans="3:6" x14ac:dyDescent="0.25">
      <c r="C124"/>
      <c r="D124"/>
      <c r="E124"/>
      <c r="F124"/>
    </row>
    <row r="125" spans="3:6" x14ac:dyDescent="0.25">
      <c r="C125"/>
      <c r="D125"/>
      <c r="E125"/>
      <c r="F125"/>
    </row>
    <row r="126" spans="3:6" x14ac:dyDescent="0.25">
      <c r="C126"/>
      <c r="D126"/>
      <c r="E126"/>
      <c r="F126"/>
    </row>
    <row r="127" spans="3:6" x14ac:dyDescent="0.25">
      <c r="C127"/>
      <c r="D127"/>
      <c r="E127"/>
      <c r="F127"/>
    </row>
    <row r="128" spans="3:6" x14ac:dyDescent="0.25">
      <c r="C128"/>
      <c r="D128"/>
      <c r="E128"/>
      <c r="F128"/>
    </row>
    <row r="129" spans="3:6" x14ac:dyDescent="0.25">
      <c r="C129"/>
      <c r="D129"/>
      <c r="E129"/>
      <c r="F129"/>
    </row>
    <row r="130" spans="3:6" x14ac:dyDescent="0.25">
      <c r="C130"/>
      <c r="D130"/>
      <c r="E130"/>
      <c r="F130"/>
    </row>
    <row r="131" spans="3:6" x14ac:dyDescent="0.25">
      <c r="C131"/>
      <c r="D131"/>
      <c r="E131"/>
      <c r="F131"/>
    </row>
    <row r="132" spans="3:6" x14ac:dyDescent="0.25">
      <c r="C132"/>
      <c r="D132"/>
      <c r="E132"/>
      <c r="F132"/>
    </row>
    <row r="133" spans="3:6" x14ac:dyDescent="0.25">
      <c r="C133"/>
      <c r="D133"/>
      <c r="E133"/>
      <c r="F133"/>
    </row>
    <row r="134" spans="3:6" x14ac:dyDescent="0.25">
      <c r="C134"/>
      <c r="D134"/>
      <c r="E134"/>
      <c r="F134"/>
    </row>
    <row r="135" spans="3:6" x14ac:dyDescent="0.25">
      <c r="C135"/>
      <c r="D135"/>
      <c r="E135"/>
      <c r="F135"/>
    </row>
    <row r="136" spans="3:6" x14ac:dyDescent="0.25">
      <c r="C136"/>
      <c r="D136"/>
      <c r="E136"/>
      <c r="F136"/>
    </row>
    <row r="137" spans="3:6" x14ac:dyDescent="0.25">
      <c r="C137"/>
      <c r="D137"/>
      <c r="E137"/>
      <c r="F137"/>
    </row>
    <row r="138" spans="3:6" x14ac:dyDescent="0.25">
      <c r="C138"/>
      <c r="D138"/>
      <c r="E138"/>
      <c r="F138"/>
    </row>
    <row r="139" spans="3:6" x14ac:dyDescent="0.25">
      <c r="C139"/>
      <c r="D139"/>
      <c r="E139"/>
      <c r="F139"/>
    </row>
    <row r="140" spans="3:6" x14ac:dyDescent="0.25">
      <c r="C140"/>
      <c r="D140"/>
      <c r="E140"/>
      <c r="F140"/>
    </row>
    <row r="141" spans="3:6" x14ac:dyDescent="0.25">
      <c r="C141"/>
      <c r="D141"/>
      <c r="E141"/>
      <c r="F141"/>
    </row>
    <row r="142" spans="3:6" x14ac:dyDescent="0.25">
      <c r="C142"/>
      <c r="D142"/>
      <c r="E142"/>
      <c r="F142"/>
    </row>
    <row r="143" spans="3:6" x14ac:dyDescent="0.25">
      <c r="C143"/>
      <c r="D143"/>
      <c r="E143"/>
      <c r="F143"/>
    </row>
    <row r="144" spans="3:6" x14ac:dyDescent="0.25">
      <c r="C144"/>
      <c r="D144"/>
      <c r="E144"/>
      <c r="F144"/>
    </row>
    <row r="145" spans="3:6" x14ac:dyDescent="0.25">
      <c r="C145"/>
      <c r="D145"/>
      <c r="E145"/>
      <c r="F145"/>
    </row>
    <row r="146" spans="3:6" x14ac:dyDescent="0.25">
      <c r="C146"/>
      <c r="D146"/>
      <c r="E146"/>
      <c r="F146"/>
    </row>
    <row r="147" spans="3:6" x14ac:dyDescent="0.25">
      <c r="C147"/>
      <c r="D147"/>
      <c r="E147"/>
      <c r="F147"/>
    </row>
    <row r="148" spans="3:6" x14ac:dyDescent="0.25">
      <c r="C148"/>
      <c r="D148"/>
      <c r="E148"/>
      <c r="F148"/>
    </row>
    <row r="149" spans="3:6" x14ac:dyDescent="0.25">
      <c r="C149"/>
      <c r="D149"/>
      <c r="E149"/>
      <c r="F149"/>
    </row>
    <row r="150" spans="3:6" x14ac:dyDescent="0.25">
      <c r="C150"/>
      <c r="D150"/>
      <c r="E150"/>
      <c r="F150"/>
    </row>
    <row r="151" spans="3:6" x14ac:dyDescent="0.25">
      <c r="C151"/>
      <c r="D151"/>
      <c r="E151"/>
      <c r="F151"/>
    </row>
    <row r="152" spans="3:6" x14ac:dyDescent="0.25">
      <c r="C152"/>
      <c r="D152"/>
      <c r="E152"/>
      <c r="F152"/>
    </row>
    <row r="153" spans="3:6" x14ac:dyDescent="0.25">
      <c r="C153"/>
      <c r="D153"/>
      <c r="E153"/>
      <c r="F153"/>
    </row>
    <row r="154" spans="3:6" x14ac:dyDescent="0.25">
      <c r="C154"/>
      <c r="D154"/>
      <c r="E154"/>
      <c r="F154"/>
    </row>
    <row r="155" spans="3:6" x14ac:dyDescent="0.25">
      <c r="C155"/>
      <c r="D155"/>
      <c r="E155"/>
      <c r="F155"/>
    </row>
    <row r="156" spans="3:6" x14ac:dyDescent="0.25">
      <c r="C156"/>
      <c r="D156"/>
      <c r="E156"/>
      <c r="F156"/>
    </row>
    <row r="157" spans="3:6" x14ac:dyDescent="0.25">
      <c r="C157"/>
      <c r="D157"/>
      <c r="E157"/>
      <c r="F157"/>
    </row>
    <row r="158" spans="3:6" x14ac:dyDescent="0.25">
      <c r="C158"/>
      <c r="D158"/>
      <c r="E158"/>
      <c r="F158"/>
    </row>
    <row r="159" spans="3:6" x14ac:dyDescent="0.25">
      <c r="C159"/>
      <c r="D159"/>
      <c r="E159"/>
      <c r="F159"/>
    </row>
    <row r="160" spans="3:6" x14ac:dyDescent="0.25">
      <c r="C160"/>
      <c r="D160"/>
      <c r="E160"/>
      <c r="F160"/>
    </row>
    <row r="161" spans="3:6" x14ac:dyDescent="0.25">
      <c r="C161"/>
      <c r="D161"/>
      <c r="E161"/>
      <c r="F161"/>
    </row>
    <row r="162" spans="3:6" x14ac:dyDescent="0.25">
      <c r="C162"/>
      <c r="D162"/>
      <c r="E162"/>
      <c r="F162"/>
    </row>
    <row r="163" spans="3:6" x14ac:dyDescent="0.25">
      <c r="C163"/>
      <c r="D163"/>
      <c r="E163"/>
      <c r="F163"/>
    </row>
    <row r="164" spans="3:6" x14ac:dyDescent="0.25">
      <c r="C164"/>
      <c r="D164"/>
      <c r="E164"/>
      <c r="F164"/>
    </row>
    <row r="165" spans="3:6" x14ac:dyDescent="0.25">
      <c r="C165"/>
      <c r="D165"/>
      <c r="E165"/>
      <c r="F165"/>
    </row>
    <row r="166" spans="3:6" x14ac:dyDescent="0.25">
      <c r="C166"/>
      <c r="D166"/>
      <c r="E166"/>
      <c r="F166"/>
    </row>
    <row r="167" spans="3:6" x14ac:dyDescent="0.25">
      <c r="C167"/>
      <c r="D167"/>
      <c r="E167"/>
      <c r="F167"/>
    </row>
    <row r="168" spans="3:6" x14ac:dyDescent="0.25">
      <c r="C168"/>
      <c r="D168"/>
      <c r="E168"/>
      <c r="F168"/>
    </row>
    <row r="169" spans="3:6" x14ac:dyDescent="0.25">
      <c r="C169"/>
      <c r="D169"/>
      <c r="E169"/>
      <c r="F169"/>
    </row>
    <row r="170" spans="3:6" x14ac:dyDescent="0.25">
      <c r="C170"/>
      <c r="D170"/>
      <c r="E170"/>
      <c r="F170"/>
    </row>
    <row r="171" spans="3:6" x14ac:dyDescent="0.25">
      <c r="C171"/>
      <c r="D171"/>
      <c r="E171"/>
      <c r="F171"/>
    </row>
    <row r="172" spans="3:6" x14ac:dyDescent="0.25">
      <c r="C172"/>
      <c r="D172"/>
      <c r="E172"/>
      <c r="F172"/>
    </row>
    <row r="173" spans="3:6" x14ac:dyDescent="0.25">
      <c r="C173"/>
      <c r="D173"/>
      <c r="E173"/>
      <c r="F173"/>
    </row>
    <row r="174" spans="3:6" x14ac:dyDescent="0.25">
      <c r="C174"/>
      <c r="D174"/>
      <c r="E174"/>
      <c r="F174"/>
    </row>
    <row r="175" spans="3:6" x14ac:dyDescent="0.25">
      <c r="C175"/>
      <c r="D175"/>
      <c r="E175"/>
      <c r="F175"/>
    </row>
    <row r="176" spans="3:6" x14ac:dyDescent="0.25">
      <c r="C176"/>
      <c r="D176"/>
      <c r="E176"/>
      <c r="F176"/>
    </row>
    <row r="177" spans="3:6" x14ac:dyDescent="0.25">
      <c r="C177"/>
      <c r="D177"/>
      <c r="E177"/>
      <c r="F177"/>
    </row>
    <row r="178" spans="3:6" x14ac:dyDescent="0.25">
      <c r="C178"/>
      <c r="D178"/>
      <c r="E178"/>
      <c r="F178"/>
    </row>
    <row r="179" spans="3:6" x14ac:dyDescent="0.25">
      <c r="C179"/>
      <c r="D179"/>
      <c r="E179"/>
      <c r="F179"/>
    </row>
    <row r="180" spans="3:6" x14ac:dyDescent="0.25">
      <c r="C180"/>
      <c r="D180"/>
      <c r="E180"/>
      <c r="F180"/>
    </row>
    <row r="181" spans="3:6" x14ac:dyDescent="0.25">
      <c r="C181"/>
      <c r="D181"/>
      <c r="E181"/>
      <c r="F181"/>
    </row>
    <row r="182" spans="3:6" x14ac:dyDescent="0.25">
      <c r="C182"/>
      <c r="D182"/>
      <c r="E182"/>
      <c r="F182"/>
    </row>
    <row r="183" spans="3:6" x14ac:dyDescent="0.25">
      <c r="C183"/>
      <c r="D183"/>
      <c r="E183"/>
      <c r="F183"/>
    </row>
    <row r="184" spans="3:6" x14ac:dyDescent="0.25">
      <c r="C184"/>
      <c r="D184"/>
      <c r="E184"/>
      <c r="F184"/>
    </row>
    <row r="185" spans="3:6" x14ac:dyDescent="0.25">
      <c r="C185"/>
      <c r="D185"/>
      <c r="E185"/>
      <c r="F185"/>
    </row>
    <row r="186" spans="3:6" x14ac:dyDescent="0.25">
      <c r="C186"/>
      <c r="D186"/>
      <c r="E186"/>
      <c r="F186"/>
    </row>
    <row r="187" spans="3:6" x14ac:dyDescent="0.25">
      <c r="C187"/>
      <c r="D187"/>
      <c r="E187"/>
      <c r="F187"/>
    </row>
    <row r="188" spans="3:6" x14ac:dyDescent="0.25">
      <c r="C188"/>
      <c r="D188"/>
      <c r="E188"/>
      <c r="F188"/>
    </row>
    <row r="189" spans="3:6" x14ac:dyDescent="0.25">
      <c r="C189"/>
      <c r="D189"/>
      <c r="E189"/>
      <c r="F189"/>
    </row>
    <row r="190" spans="3:6" x14ac:dyDescent="0.25">
      <c r="C190"/>
      <c r="D190"/>
      <c r="E190"/>
      <c r="F190"/>
    </row>
    <row r="191" spans="3:6" x14ac:dyDescent="0.25">
      <c r="C191"/>
      <c r="D191"/>
      <c r="E191"/>
      <c r="F191"/>
    </row>
    <row r="192" spans="3:6" x14ac:dyDescent="0.25">
      <c r="C192"/>
      <c r="D192"/>
      <c r="E192"/>
      <c r="F192"/>
    </row>
    <row r="193" spans="3:6" x14ac:dyDescent="0.25">
      <c r="C193"/>
      <c r="D193"/>
      <c r="E193"/>
      <c r="F193"/>
    </row>
    <row r="194" spans="3:6" x14ac:dyDescent="0.25">
      <c r="C194"/>
      <c r="D194"/>
      <c r="E194"/>
      <c r="F194"/>
    </row>
    <row r="195" spans="3:6" x14ac:dyDescent="0.25">
      <c r="C195"/>
      <c r="D195"/>
      <c r="E195"/>
      <c r="F195"/>
    </row>
    <row r="196" spans="3:6" x14ac:dyDescent="0.25">
      <c r="C196"/>
      <c r="D196"/>
      <c r="E196"/>
      <c r="F196"/>
    </row>
    <row r="197" spans="3:6" x14ac:dyDescent="0.25">
      <c r="C197"/>
      <c r="D197"/>
      <c r="E197"/>
      <c r="F197"/>
    </row>
    <row r="198" spans="3:6" x14ac:dyDescent="0.25">
      <c r="C198"/>
      <c r="D198"/>
      <c r="E198"/>
      <c r="F198"/>
    </row>
    <row r="199" spans="3:6" x14ac:dyDescent="0.25">
      <c r="C199"/>
      <c r="D199"/>
      <c r="E199"/>
      <c r="F199"/>
    </row>
    <row r="200" spans="3:6" x14ac:dyDescent="0.25">
      <c r="C200"/>
      <c r="D200"/>
      <c r="E200"/>
      <c r="F200"/>
    </row>
    <row r="201" spans="3:6" x14ac:dyDescent="0.25">
      <c r="C201"/>
      <c r="D201"/>
      <c r="E201"/>
      <c r="F201"/>
    </row>
    <row r="202" spans="3:6" x14ac:dyDescent="0.25">
      <c r="C202"/>
      <c r="D202"/>
      <c r="E202"/>
      <c r="F202"/>
    </row>
    <row r="203" spans="3:6" x14ac:dyDescent="0.25">
      <c r="C203"/>
      <c r="D203"/>
      <c r="E203"/>
      <c r="F203"/>
    </row>
    <row r="204" spans="3:6" x14ac:dyDescent="0.25">
      <c r="C204"/>
      <c r="D204"/>
      <c r="E204"/>
      <c r="F204"/>
    </row>
    <row r="205" spans="3:6" x14ac:dyDescent="0.25">
      <c r="C205"/>
      <c r="D205"/>
      <c r="E205"/>
      <c r="F205"/>
    </row>
    <row r="206" spans="3:6" x14ac:dyDescent="0.25">
      <c r="C206"/>
      <c r="D206"/>
      <c r="E206"/>
      <c r="F206"/>
    </row>
    <row r="207" spans="3:6" x14ac:dyDescent="0.25">
      <c r="C207"/>
      <c r="D207"/>
      <c r="E207"/>
      <c r="F207"/>
    </row>
    <row r="208" spans="3:6" x14ac:dyDescent="0.25">
      <c r="C208"/>
      <c r="D208"/>
      <c r="E208"/>
      <c r="F208"/>
    </row>
    <row r="209" spans="3:6" x14ac:dyDescent="0.25">
      <c r="C209"/>
      <c r="D209"/>
      <c r="E209"/>
      <c r="F209"/>
    </row>
    <row r="210" spans="3:6" x14ac:dyDescent="0.25">
      <c r="C210"/>
      <c r="D210"/>
      <c r="E210"/>
      <c r="F210"/>
    </row>
    <row r="211" spans="3:6" x14ac:dyDescent="0.25">
      <c r="C211"/>
      <c r="D211"/>
      <c r="E211"/>
      <c r="F211"/>
    </row>
    <row r="212" spans="3:6" x14ac:dyDescent="0.25">
      <c r="C212"/>
      <c r="D212"/>
      <c r="E212"/>
      <c r="F212"/>
    </row>
    <row r="213" spans="3:6" x14ac:dyDescent="0.25">
      <c r="C213"/>
      <c r="D213"/>
      <c r="E213"/>
      <c r="F213"/>
    </row>
    <row r="214" spans="3:6" x14ac:dyDescent="0.25">
      <c r="C214"/>
      <c r="D214"/>
      <c r="E214"/>
      <c r="F214"/>
    </row>
    <row r="215" spans="3:6" x14ac:dyDescent="0.25">
      <c r="C215"/>
      <c r="D215"/>
      <c r="E215"/>
      <c r="F215"/>
    </row>
    <row r="216" spans="3:6" x14ac:dyDescent="0.25">
      <c r="C216"/>
      <c r="D216"/>
      <c r="E216"/>
      <c r="F216"/>
    </row>
    <row r="217" spans="3:6" x14ac:dyDescent="0.25">
      <c r="C217"/>
      <c r="D217"/>
      <c r="E217"/>
      <c r="F217"/>
    </row>
    <row r="218" spans="3:6" x14ac:dyDescent="0.25">
      <c r="C218"/>
      <c r="D218"/>
      <c r="E218"/>
      <c r="F218"/>
    </row>
    <row r="219" spans="3:6" x14ac:dyDescent="0.25">
      <c r="C219"/>
      <c r="D219"/>
      <c r="E219"/>
      <c r="F219"/>
    </row>
    <row r="220" spans="3:6" x14ac:dyDescent="0.25">
      <c r="C220"/>
      <c r="D220"/>
      <c r="E220"/>
      <c r="F220"/>
    </row>
    <row r="221" spans="3:6" x14ac:dyDescent="0.25">
      <c r="C221"/>
      <c r="D221"/>
      <c r="E221"/>
      <c r="F221"/>
    </row>
    <row r="222" spans="3:6" x14ac:dyDescent="0.25">
      <c r="C222"/>
      <c r="D222"/>
      <c r="E222"/>
      <c r="F222"/>
    </row>
    <row r="223" spans="3:6" x14ac:dyDescent="0.25">
      <c r="C223"/>
      <c r="D223"/>
      <c r="E223"/>
      <c r="F223"/>
    </row>
    <row r="224" spans="3:6" x14ac:dyDescent="0.25">
      <c r="C224"/>
      <c r="D224"/>
      <c r="E224"/>
      <c r="F224"/>
    </row>
    <row r="225" spans="3:6" x14ac:dyDescent="0.25">
      <c r="C225"/>
      <c r="D225"/>
      <c r="E225"/>
      <c r="F225"/>
    </row>
    <row r="226" spans="3:6" x14ac:dyDescent="0.25">
      <c r="C226"/>
      <c r="D226"/>
      <c r="E226"/>
      <c r="F226"/>
    </row>
    <row r="227" spans="3:6" x14ac:dyDescent="0.25">
      <c r="C227"/>
      <c r="D227"/>
      <c r="E227"/>
      <c r="F227"/>
    </row>
    <row r="228" spans="3:6" x14ac:dyDescent="0.25">
      <c r="C228"/>
      <c r="D228"/>
      <c r="E228"/>
      <c r="F228"/>
    </row>
    <row r="229" spans="3:6" x14ac:dyDescent="0.25">
      <c r="C229"/>
      <c r="D229"/>
      <c r="E229"/>
      <c r="F229"/>
    </row>
    <row r="230" spans="3:6" x14ac:dyDescent="0.25">
      <c r="C230"/>
      <c r="D230"/>
      <c r="E230"/>
      <c r="F230"/>
    </row>
    <row r="231" spans="3:6" x14ac:dyDescent="0.25">
      <c r="C231"/>
      <c r="D231"/>
      <c r="E231"/>
      <c r="F231"/>
    </row>
    <row r="232" spans="3:6" x14ac:dyDescent="0.25">
      <c r="C232"/>
      <c r="D232"/>
      <c r="E232"/>
      <c r="F232"/>
    </row>
    <row r="233" spans="3:6" x14ac:dyDescent="0.25">
      <c r="C233"/>
      <c r="D233"/>
      <c r="E233"/>
      <c r="F233"/>
    </row>
    <row r="234" spans="3:6" x14ac:dyDescent="0.25">
      <c r="C234"/>
      <c r="D234"/>
      <c r="E234"/>
      <c r="F234"/>
    </row>
    <row r="235" spans="3:6" x14ac:dyDescent="0.25">
      <c r="C235"/>
      <c r="D235"/>
      <c r="E235"/>
      <c r="F235"/>
    </row>
    <row r="236" spans="3:6" x14ac:dyDescent="0.25">
      <c r="C236"/>
      <c r="D236"/>
      <c r="E236"/>
      <c r="F236"/>
    </row>
    <row r="237" spans="3:6" x14ac:dyDescent="0.25">
      <c r="C237"/>
      <c r="D237"/>
      <c r="E237"/>
      <c r="F237"/>
    </row>
    <row r="238" spans="3:6" x14ac:dyDescent="0.25">
      <c r="C238"/>
      <c r="D238"/>
      <c r="E238"/>
      <c r="F238"/>
    </row>
    <row r="239" spans="3:6" x14ac:dyDescent="0.25">
      <c r="C239"/>
      <c r="D239"/>
      <c r="E239"/>
      <c r="F239"/>
    </row>
    <row r="240" spans="3:6" x14ac:dyDescent="0.25">
      <c r="C240"/>
      <c r="D240"/>
      <c r="E240"/>
      <c r="F240"/>
    </row>
    <row r="241" spans="3:6" x14ac:dyDescent="0.25">
      <c r="C241"/>
      <c r="D241"/>
      <c r="E241"/>
      <c r="F241"/>
    </row>
    <row r="242" spans="3:6" x14ac:dyDescent="0.25">
      <c r="C242"/>
      <c r="D242"/>
      <c r="E242"/>
      <c r="F242"/>
    </row>
    <row r="243" spans="3:6" x14ac:dyDescent="0.25">
      <c r="C243"/>
      <c r="D243"/>
      <c r="E243"/>
      <c r="F243"/>
    </row>
    <row r="244" spans="3:6" x14ac:dyDescent="0.25">
      <c r="C244"/>
      <c r="D244"/>
      <c r="E244"/>
      <c r="F244"/>
    </row>
    <row r="245" spans="3:6" x14ac:dyDescent="0.25">
      <c r="C245"/>
      <c r="D245"/>
      <c r="E245"/>
      <c r="F245"/>
    </row>
    <row r="246" spans="3:6" x14ac:dyDescent="0.25">
      <c r="C246"/>
      <c r="D246"/>
      <c r="E246"/>
      <c r="F246"/>
    </row>
    <row r="247" spans="3:6" x14ac:dyDescent="0.25">
      <c r="C247"/>
      <c r="D247"/>
      <c r="E247"/>
      <c r="F247"/>
    </row>
    <row r="248" spans="3:6" x14ac:dyDescent="0.25">
      <c r="C248"/>
      <c r="D248"/>
      <c r="E248"/>
      <c r="F248"/>
    </row>
    <row r="249" spans="3:6" x14ac:dyDescent="0.25">
      <c r="C249"/>
      <c r="D249"/>
      <c r="E249"/>
      <c r="F249"/>
    </row>
    <row r="250" spans="3:6" x14ac:dyDescent="0.25">
      <c r="C250"/>
      <c r="D250"/>
      <c r="E250"/>
      <c r="F250"/>
    </row>
    <row r="251" spans="3:6" x14ac:dyDescent="0.25">
      <c r="C251"/>
      <c r="D251"/>
      <c r="E251"/>
      <c r="F251"/>
    </row>
    <row r="252" spans="3:6" x14ac:dyDescent="0.25">
      <c r="C252"/>
      <c r="D252"/>
      <c r="E252"/>
      <c r="F252"/>
    </row>
    <row r="253" spans="3:6" x14ac:dyDescent="0.25">
      <c r="C253"/>
      <c r="D253"/>
      <c r="E253"/>
      <c r="F253"/>
    </row>
    <row r="254" spans="3:6" x14ac:dyDescent="0.25">
      <c r="C254"/>
      <c r="D254"/>
      <c r="E254"/>
      <c r="F254"/>
    </row>
    <row r="255" spans="3:6" x14ac:dyDescent="0.25">
      <c r="C255"/>
      <c r="D255"/>
      <c r="E255"/>
      <c r="F255"/>
    </row>
    <row r="256" spans="3:6" x14ac:dyDescent="0.25">
      <c r="C256"/>
      <c r="D256"/>
      <c r="E256"/>
      <c r="F256"/>
    </row>
    <row r="257" spans="3:6" x14ac:dyDescent="0.25">
      <c r="C257"/>
      <c r="D257"/>
      <c r="E257"/>
      <c r="F257"/>
    </row>
    <row r="258" spans="3:6" x14ac:dyDescent="0.25">
      <c r="C258"/>
      <c r="D258"/>
      <c r="E258"/>
      <c r="F258"/>
    </row>
    <row r="259" spans="3:6" x14ac:dyDescent="0.25">
      <c r="C259"/>
      <c r="D259"/>
      <c r="E259"/>
      <c r="F259"/>
    </row>
    <row r="260" spans="3:6" x14ac:dyDescent="0.25">
      <c r="C260"/>
      <c r="D260"/>
      <c r="E260"/>
      <c r="F260"/>
    </row>
    <row r="261" spans="3:6" x14ac:dyDescent="0.25">
      <c r="C261"/>
      <c r="D261"/>
      <c r="E261"/>
      <c r="F261"/>
    </row>
    <row r="262" spans="3:6" x14ac:dyDescent="0.25">
      <c r="C262"/>
      <c r="D262"/>
      <c r="E262"/>
      <c r="F262"/>
    </row>
    <row r="263" spans="3:6" x14ac:dyDescent="0.25">
      <c r="C263"/>
      <c r="D263"/>
      <c r="E263"/>
      <c r="F263"/>
    </row>
    <row r="264" spans="3:6" x14ac:dyDescent="0.25">
      <c r="C264"/>
      <c r="D264"/>
      <c r="E264"/>
      <c r="F264"/>
    </row>
    <row r="265" spans="3:6" x14ac:dyDescent="0.25">
      <c r="C265"/>
      <c r="D265"/>
      <c r="E265"/>
      <c r="F265"/>
    </row>
    <row r="266" spans="3:6" x14ac:dyDescent="0.25">
      <c r="C266"/>
      <c r="D266"/>
      <c r="E266"/>
      <c r="F266"/>
    </row>
    <row r="267" spans="3:6" x14ac:dyDescent="0.25">
      <c r="C267"/>
      <c r="D267"/>
      <c r="E267"/>
      <c r="F267"/>
    </row>
    <row r="268" spans="3:6" x14ac:dyDescent="0.25">
      <c r="C268"/>
      <c r="D268"/>
      <c r="E268"/>
      <c r="F268"/>
    </row>
    <row r="269" spans="3:6" x14ac:dyDescent="0.25">
      <c r="C269"/>
      <c r="D269"/>
      <c r="E269"/>
      <c r="F269"/>
    </row>
    <row r="270" spans="3:6" x14ac:dyDescent="0.25">
      <c r="C270"/>
      <c r="D270"/>
      <c r="E270"/>
      <c r="F270"/>
    </row>
    <row r="271" spans="3:6" x14ac:dyDescent="0.25">
      <c r="C271"/>
      <c r="D271"/>
      <c r="E271"/>
      <c r="F271"/>
    </row>
    <row r="272" spans="3:6" x14ac:dyDescent="0.25">
      <c r="C272"/>
      <c r="D272"/>
      <c r="E272"/>
      <c r="F272"/>
    </row>
    <row r="273" spans="3:6" x14ac:dyDescent="0.25">
      <c r="C273"/>
      <c r="D273"/>
      <c r="E273"/>
      <c r="F273"/>
    </row>
    <row r="274" spans="3:6" x14ac:dyDescent="0.25">
      <c r="C274"/>
      <c r="D274"/>
      <c r="E274"/>
      <c r="F274"/>
    </row>
    <row r="275" spans="3:6" x14ac:dyDescent="0.25">
      <c r="C275"/>
      <c r="D275"/>
      <c r="E275"/>
      <c r="F275"/>
    </row>
    <row r="276" spans="3:6" x14ac:dyDescent="0.25">
      <c r="C276"/>
      <c r="D276"/>
      <c r="E276"/>
      <c r="F276"/>
    </row>
    <row r="277" spans="3:6" x14ac:dyDescent="0.25">
      <c r="C277"/>
      <c r="D277"/>
      <c r="E277"/>
      <c r="F277"/>
    </row>
    <row r="278" spans="3:6" x14ac:dyDescent="0.25">
      <c r="C278"/>
      <c r="D278"/>
      <c r="E278"/>
      <c r="F278"/>
    </row>
    <row r="279" spans="3:6" x14ac:dyDescent="0.25">
      <c r="C279"/>
      <c r="D279"/>
      <c r="E279"/>
      <c r="F279"/>
    </row>
    <row r="280" spans="3:6" x14ac:dyDescent="0.25">
      <c r="C280"/>
      <c r="D280"/>
      <c r="E280"/>
      <c r="F280"/>
    </row>
    <row r="281" spans="3:6" x14ac:dyDescent="0.25">
      <c r="C281"/>
      <c r="D281"/>
      <c r="E281"/>
      <c r="F281"/>
    </row>
    <row r="282" spans="3:6" x14ac:dyDescent="0.25">
      <c r="C282"/>
      <c r="D282"/>
      <c r="E282"/>
      <c r="F282"/>
    </row>
    <row r="283" spans="3:6" x14ac:dyDescent="0.25">
      <c r="C283"/>
      <c r="D283"/>
      <c r="E283"/>
      <c r="F283"/>
    </row>
    <row r="284" spans="3:6" x14ac:dyDescent="0.25">
      <c r="C284"/>
      <c r="D284"/>
      <c r="E284"/>
      <c r="F284"/>
    </row>
    <row r="285" spans="3:6" x14ac:dyDescent="0.25">
      <c r="C285"/>
      <c r="D285"/>
      <c r="E285"/>
      <c r="F285"/>
    </row>
    <row r="286" spans="3:6" x14ac:dyDescent="0.25">
      <c r="C286"/>
      <c r="D286"/>
      <c r="E286"/>
      <c r="F286"/>
    </row>
    <row r="287" spans="3:6" x14ac:dyDescent="0.25">
      <c r="C287"/>
      <c r="D287"/>
      <c r="E287"/>
      <c r="F287"/>
    </row>
    <row r="288" spans="3:6" x14ac:dyDescent="0.25">
      <c r="C288"/>
      <c r="D288"/>
      <c r="E288"/>
      <c r="F288"/>
    </row>
    <row r="289" spans="3:6" x14ac:dyDescent="0.25">
      <c r="C289"/>
      <c r="D289"/>
      <c r="E289"/>
      <c r="F289"/>
    </row>
    <row r="290" spans="3:6" x14ac:dyDescent="0.25">
      <c r="C290"/>
      <c r="D290"/>
      <c r="E290"/>
      <c r="F290"/>
    </row>
    <row r="291" spans="3:6" x14ac:dyDescent="0.25">
      <c r="C291"/>
      <c r="D291"/>
      <c r="E291"/>
      <c r="F291"/>
    </row>
    <row r="292" spans="3:6" x14ac:dyDescent="0.25">
      <c r="C292"/>
      <c r="D292"/>
      <c r="E292"/>
      <c r="F292"/>
    </row>
    <row r="293" spans="3:6" x14ac:dyDescent="0.25">
      <c r="C293"/>
      <c r="D293"/>
      <c r="E293"/>
      <c r="F293"/>
    </row>
    <row r="294" spans="3:6" x14ac:dyDescent="0.25">
      <c r="C294"/>
      <c r="D294"/>
      <c r="E294"/>
      <c r="F294"/>
    </row>
    <row r="295" spans="3:6" x14ac:dyDescent="0.25">
      <c r="C295"/>
      <c r="D295"/>
      <c r="E295"/>
      <c r="F295"/>
    </row>
    <row r="296" spans="3:6" x14ac:dyDescent="0.25">
      <c r="C296"/>
      <c r="D296"/>
      <c r="E296"/>
      <c r="F296"/>
    </row>
  </sheetData>
  <mergeCells count="2">
    <mergeCell ref="A4:B4"/>
    <mergeCell ref="A36:B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zoomScaleNormal="100" workbookViewId="0">
      <pane ySplit="3" topLeftCell="A16" activePane="bottomLeft" state="frozen"/>
      <selection activeCell="A16" sqref="A16"/>
      <selection pane="bottomLeft" activeCell="B35" sqref="B35"/>
    </sheetView>
  </sheetViews>
  <sheetFormatPr baseColWidth="10" defaultRowHeight="15" x14ac:dyDescent="0.25"/>
  <cols>
    <col min="1" max="1" width="27.85546875" customWidth="1"/>
    <col min="2" max="2" width="11.42578125" customWidth="1"/>
    <col min="3" max="3" width="12.7109375" style="4" bestFit="1" customWidth="1"/>
    <col min="4" max="4" width="16.42578125" style="4" bestFit="1" customWidth="1"/>
    <col min="5" max="6" width="12.7109375" style="4" bestFit="1" customWidth="1"/>
    <col min="7" max="7" width="12.7109375" bestFit="1" customWidth="1"/>
  </cols>
  <sheetData>
    <row r="1" spans="1:8" x14ac:dyDescent="0.25">
      <c r="A1" t="s">
        <v>0</v>
      </c>
    </row>
    <row r="3" spans="1:8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8" x14ac:dyDescent="0.25">
      <c r="A4" s="558" t="s">
        <v>19</v>
      </c>
      <c r="B4" s="558"/>
      <c r="C4" s="557" t="s">
        <v>255</v>
      </c>
      <c r="D4" s="557"/>
      <c r="E4" s="557"/>
      <c r="F4" s="557"/>
      <c r="G4" s="557"/>
    </row>
    <row r="5" spans="1:8" x14ac:dyDescent="0.25">
      <c r="A5" s="7" t="s">
        <v>6</v>
      </c>
    </row>
    <row r="6" spans="1:8" x14ac:dyDescent="0.25">
      <c r="A6" t="s">
        <v>2</v>
      </c>
      <c r="B6" t="s">
        <v>3</v>
      </c>
      <c r="C6" s="4">
        <f>'F1'!C13</f>
        <v>0</v>
      </c>
      <c r="D6" s="4">
        <f>'F1'!D13</f>
        <v>0</v>
      </c>
      <c r="E6" s="4">
        <f>'F1'!E13</f>
        <v>0</v>
      </c>
      <c r="F6" s="4">
        <f>'F1'!F13</f>
        <v>300</v>
      </c>
      <c r="G6" s="4">
        <f>'F1'!G13</f>
        <v>300</v>
      </c>
    </row>
    <row r="7" spans="1:8" x14ac:dyDescent="0.25">
      <c r="A7" t="s">
        <v>4</v>
      </c>
      <c r="B7" t="s"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8" x14ac:dyDescent="0.25">
      <c r="G8" s="4"/>
    </row>
    <row r="9" spans="1:8" x14ac:dyDescent="0.25">
      <c r="A9" t="s">
        <v>266</v>
      </c>
      <c r="B9" s="2" t="s">
        <v>13</v>
      </c>
      <c r="C9" s="13">
        <f>'F4'!C24*C6</f>
        <v>0</v>
      </c>
      <c r="D9" s="13">
        <f>'F4'!D24*D6</f>
        <v>0</v>
      </c>
      <c r="E9" s="13">
        <f>'F4'!E24*E6</f>
        <v>0</v>
      </c>
      <c r="F9" s="13">
        <f>'F4'!F24*F6</f>
        <v>10266.660409090906</v>
      </c>
      <c r="G9" s="13">
        <f>'F4'!G24*G6</f>
        <v>10420.660315227267</v>
      </c>
    </row>
    <row r="10" spans="1:8" x14ac:dyDescent="0.25">
      <c r="A10" t="s">
        <v>4</v>
      </c>
      <c r="B10" s="2" t="s">
        <v>13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8" x14ac:dyDescent="0.25">
      <c r="G11" s="4"/>
    </row>
    <row r="12" spans="1:8" x14ac:dyDescent="0.25">
      <c r="A12" s="7" t="s">
        <v>260</v>
      </c>
      <c r="G12" s="4"/>
    </row>
    <row r="13" spans="1:8" x14ac:dyDescent="0.25">
      <c r="A13" s="6" t="s">
        <v>8</v>
      </c>
      <c r="B13" t="s">
        <v>9</v>
      </c>
      <c r="G13" s="4"/>
    </row>
    <row r="14" spans="1:8" x14ac:dyDescent="0.25">
      <c r="A14" s="3" t="s">
        <v>10</v>
      </c>
      <c r="C14" s="4">
        <f>D14/4</f>
        <v>24</v>
      </c>
      <c r="D14" s="4">
        <f>'F1'!D49</f>
        <v>96</v>
      </c>
      <c r="E14" s="4">
        <f>'F1'!E49</f>
        <v>96</v>
      </c>
      <c r="F14" s="4">
        <f>'F1'!F49</f>
        <v>96</v>
      </c>
      <c r="G14" s="4">
        <f>'F1'!G49</f>
        <v>96</v>
      </c>
    </row>
    <row r="15" spans="1:8" x14ac:dyDescent="0.25">
      <c r="A15" s="3" t="s">
        <v>11</v>
      </c>
      <c r="C15" s="4">
        <f t="shared" ref="C15:C16" si="0">D15/4</f>
        <v>60</v>
      </c>
      <c r="D15" s="4">
        <f>'F1'!D62</f>
        <v>240</v>
      </c>
      <c r="E15" s="4">
        <f>'F1'!E62</f>
        <v>240</v>
      </c>
      <c r="F15" s="4">
        <f>'F1'!F62</f>
        <v>240</v>
      </c>
      <c r="G15" s="4">
        <f>'F1'!G62</f>
        <v>240</v>
      </c>
    </row>
    <row r="16" spans="1:8" x14ac:dyDescent="0.25">
      <c r="A16" s="416" t="s">
        <v>12</v>
      </c>
      <c r="B16" s="417"/>
      <c r="C16" s="418">
        <f t="shared" si="0"/>
        <v>48</v>
      </c>
      <c r="D16" s="418">
        <f>'F1'!D63</f>
        <v>192</v>
      </c>
      <c r="E16" s="418">
        <f>'F1'!E63</f>
        <v>192</v>
      </c>
      <c r="F16" s="418">
        <f>'F1'!F63</f>
        <v>192</v>
      </c>
      <c r="G16" s="418">
        <f>'F1'!G63</f>
        <v>192</v>
      </c>
      <c r="H16" t="s">
        <v>391</v>
      </c>
    </row>
    <row r="18" spans="1:8" x14ac:dyDescent="0.25">
      <c r="A18" s="6" t="s">
        <v>8</v>
      </c>
      <c r="B18" s="2" t="s">
        <v>13</v>
      </c>
      <c r="C18" s="13">
        <f>SUM(C19:C20)</f>
        <v>2581.5476298701296</v>
      </c>
      <c r="D18" s="13">
        <f t="shared" ref="D18:G18" si="1">SUM(D19:D20)</f>
        <v>10326.190519480519</v>
      </c>
      <c r="E18" s="13">
        <f t="shared" si="1"/>
        <v>10326.190519480519</v>
      </c>
      <c r="F18" s="13">
        <f t="shared" si="1"/>
        <v>10326.190519480519</v>
      </c>
      <c r="G18" s="13">
        <f t="shared" si="1"/>
        <v>10326.190519480519</v>
      </c>
    </row>
    <row r="19" spans="1:8" x14ac:dyDescent="0.25">
      <c r="A19" s="398" t="s">
        <v>10</v>
      </c>
      <c r="C19" s="397">
        <f>'F1'!C87*C14</f>
        <v>727.8805519480519</v>
      </c>
      <c r="D19" s="397">
        <f>'F1'!D87*D14</f>
        <v>2911.5222077922076</v>
      </c>
      <c r="E19" s="397">
        <f>'F1'!E87*E14</f>
        <v>2911.5222077922076</v>
      </c>
      <c r="F19" s="397">
        <f>'F1'!F87*F14</f>
        <v>2911.5222077922076</v>
      </c>
      <c r="G19" s="397">
        <f>'F1'!G87*G14</f>
        <v>2911.5222077922076</v>
      </c>
    </row>
    <row r="20" spans="1:8" x14ac:dyDescent="0.25">
      <c r="A20" s="398" t="s">
        <v>11</v>
      </c>
      <c r="C20" s="397">
        <f>'F1'!C93*C15</f>
        <v>1853.6670779220779</v>
      </c>
      <c r="D20" s="397">
        <f>'F1'!D93*D15</f>
        <v>7414.6683116883114</v>
      </c>
      <c r="E20" s="397">
        <f>'F1'!E93*E15</f>
        <v>7414.6683116883114</v>
      </c>
      <c r="F20" s="397">
        <f>'F1'!F93*F15</f>
        <v>7414.6683116883114</v>
      </c>
      <c r="G20" s="397">
        <f>'F1'!G93*G15</f>
        <v>7414.6683116883114</v>
      </c>
    </row>
    <row r="21" spans="1:8" x14ac:dyDescent="0.25">
      <c r="C21" s="13"/>
      <c r="D21" s="13"/>
      <c r="E21" s="13"/>
      <c r="F21" s="13"/>
      <c r="G21" s="13"/>
    </row>
    <row r="22" spans="1:8" x14ac:dyDescent="0.25">
      <c r="A22" s="6" t="s">
        <v>14</v>
      </c>
      <c r="B22" s="2" t="s">
        <v>13</v>
      </c>
      <c r="C22" s="13">
        <f>'F1'!C136</f>
        <v>2250</v>
      </c>
      <c r="D22" s="13">
        <f>'F1'!D136</f>
        <v>3000</v>
      </c>
      <c r="E22" s="13">
        <f>'F1'!E136</f>
        <v>3000</v>
      </c>
      <c r="F22" s="13">
        <f>'F1'!F136</f>
        <v>3000</v>
      </c>
      <c r="G22" s="13">
        <f>'F1'!G136</f>
        <v>3000</v>
      </c>
    </row>
    <row r="24" spans="1:8" x14ac:dyDescent="0.25">
      <c r="A24" s="7" t="s">
        <v>15</v>
      </c>
    </row>
    <row r="25" spans="1:8" x14ac:dyDescent="0.25">
      <c r="A25" t="s">
        <v>16</v>
      </c>
      <c r="B25" s="2" t="s">
        <v>13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7" spans="1:8" x14ac:dyDescent="0.25">
      <c r="A27" s="7" t="s">
        <v>17</v>
      </c>
      <c r="B27" s="2" t="s">
        <v>13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t="s">
        <v>265</v>
      </c>
    </row>
    <row r="29" spans="1:8" x14ac:dyDescent="0.25">
      <c r="A29" s="8" t="s">
        <v>18</v>
      </c>
      <c r="B29" s="9"/>
      <c r="C29" s="14">
        <f>'F1'!C254*'F1'!C192</f>
        <v>0</v>
      </c>
      <c r="D29" s="14">
        <f>'F1'!D254*'F1'!D192</f>
        <v>0</v>
      </c>
      <c r="E29" s="14">
        <f>'F1'!E254*'F1'!E192</f>
        <v>0</v>
      </c>
      <c r="F29" s="14">
        <f>'F1'!F254*'F1'!F192</f>
        <v>514.53749999999991</v>
      </c>
      <c r="G29" s="14">
        <f>'F1'!G254*'F1'!G192</f>
        <v>514.53749999999991</v>
      </c>
    </row>
    <row r="30" spans="1:8" x14ac:dyDescent="0.25">
      <c r="A30" s="8"/>
      <c r="B30" s="9"/>
      <c r="C30" s="14"/>
      <c r="D30" s="10"/>
      <c r="E30" s="10"/>
      <c r="F30" s="10"/>
      <c r="G30" s="9"/>
    </row>
    <row r="31" spans="1:8" x14ac:dyDescent="0.25">
      <c r="A31" s="8" t="s">
        <v>31</v>
      </c>
      <c r="B31" s="15" t="s">
        <v>13</v>
      </c>
      <c r="C31" s="14">
        <f>'Bilan financier'!C131*'F1'!C232</f>
        <v>2368.6613008187464</v>
      </c>
      <c r="D31" s="14">
        <f>'Bilan financier'!D131*'F1'!D232</f>
        <v>2706.7110933919025</v>
      </c>
      <c r="E31" s="14">
        <f>'Bilan financier'!E131*'F1'!E232</f>
        <v>2603.2285735869245</v>
      </c>
      <c r="F31" s="14">
        <f>'Bilan financier'!F131*'F1'!F232</f>
        <v>0</v>
      </c>
      <c r="G31" s="14">
        <f>'Bilan financier'!G131*'F1'!G232</f>
        <v>0</v>
      </c>
    </row>
    <row r="32" spans="1:8" x14ac:dyDescent="0.25">
      <c r="A32" s="555" t="s">
        <v>21</v>
      </c>
      <c r="B32" s="556"/>
      <c r="C32" s="280">
        <f>C31+C29+C22+C19+C20+C9</f>
        <v>7200.2089306888765</v>
      </c>
      <c r="D32" s="280">
        <f>D31+D29+D22+D19+D20+D9</f>
        <v>16032.901612872422</v>
      </c>
      <c r="E32" s="280">
        <f t="shared" ref="E32:G32" si="2">E31+E29+E22+E19+E20+E9</f>
        <v>15929.419093067445</v>
      </c>
      <c r="F32" s="280">
        <f t="shared" si="2"/>
        <v>24107.388428571423</v>
      </c>
      <c r="G32" s="280">
        <f t="shared" si="2"/>
        <v>24261.388334707786</v>
      </c>
    </row>
    <row r="34" spans="1:7" x14ac:dyDescent="0.25">
      <c r="A34" t="s">
        <v>275</v>
      </c>
      <c r="B34" s="283">
        <v>0.03</v>
      </c>
      <c r="C34" s="4">
        <f>C32*($B$34)</f>
        <v>216.00626792066629</v>
      </c>
      <c r="D34" s="4">
        <f>D32*($B$34)</f>
        <v>480.9870483861726</v>
      </c>
      <c r="E34" s="4">
        <f t="shared" ref="E34:G34" si="3">E32*($B$34)</f>
        <v>477.88257279202332</v>
      </c>
      <c r="F34" s="4">
        <f t="shared" si="3"/>
        <v>723.22165285714266</v>
      </c>
      <c r="G34" s="4">
        <f t="shared" si="3"/>
        <v>727.84165004123361</v>
      </c>
    </row>
    <row r="36" spans="1:7" s="393" customFormat="1" x14ac:dyDescent="0.25">
      <c r="A36" s="393" t="s">
        <v>276</v>
      </c>
      <c r="C36" s="394">
        <f>C34+C32</f>
        <v>7416.2151986095432</v>
      </c>
      <c r="D36" s="394">
        <f t="shared" ref="D36:G36" si="4">D34+D32</f>
        <v>16513.888661258596</v>
      </c>
      <c r="E36" s="394">
        <f t="shared" si="4"/>
        <v>16407.301665859468</v>
      </c>
      <c r="F36" s="394">
        <f t="shared" si="4"/>
        <v>24830.610081428567</v>
      </c>
      <c r="G36" s="394">
        <f t="shared" si="4"/>
        <v>24989.229984749021</v>
      </c>
    </row>
  </sheetData>
  <mergeCells count="3">
    <mergeCell ref="C4:G4"/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5"/>
  <sheetViews>
    <sheetView workbookViewId="0">
      <pane ySplit="3" topLeftCell="A19" activePane="bottomLeft" state="frozen"/>
      <selection activeCell="A16" sqref="A16"/>
      <selection pane="bottomLeft" activeCell="B34" sqref="B34"/>
    </sheetView>
  </sheetViews>
  <sheetFormatPr baseColWidth="10" defaultRowHeight="15" x14ac:dyDescent="0.25"/>
  <cols>
    <col min="1" max="1" width="30.7109375" customWidth="1"/>
    <col min="2" max="2" width="11.42578125" customWidth="1"/>
    <col min="3" max="6" width="11.85546875" style="4" bestFit="1" customWidth="1"/>
    <col min="7" max="7" width="11.85546875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x14ac:dyDescent="0.25">
      <c r="A4" s="558" t="s">
        <v>20</v>
      </c>
      <c r="B4" s="558"/>
      <c r="C4" s="11"/>
      <c r="D4" s="11"/>
      <c r="E4" s="11"/>
      <c r="F4" s="11"/>
      <c r="G4" s="12"/>
    </row>
    <row r="5" spans="1:7" x14ac:dyDescent="0.25">
      <c r="A5" s="7" t="s">
        <v>6</v>
      </c>
    </row>
    <row r="6" spans="1:7" x14ac:dyDescent="0.25">
      <c r="A6" t="s">
        <v>2</v>
      </c>
      <c r="B6" t="s">
        <v>3</v>
      </c>
      <c r="C6" s="4">
        <f>'F1'!C14</f>
        <v>0</v>
      </c>
      <c r="D6" s="4">
        <f>'F1'!D14</f>
        <v>0</v>
      </c>
      <c r="E6" s="4">
        <f>'F1'!E14</f>
        <v>0</v>
      </c>
      <c r="F6" s="4">
        <f>'F1'!F14</f>
        <v>800</v>
      </c>
      <c r="G6" s="4">
        <f>'F1'!G14</f>
        <v>800</v>
      </c>
    </row>
    <row r="7" spans="1:7" x14ac:dyDescent="0.25">
      <c r="A7" t="s">
        <v>4</v>
      </c>
      <c r="B7" t="s"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G8" s="4"/>
    </row>
    <row r="9" spans="1:7" x14ac:dyDescent="0.25">
      <c r="A9" t="s">
        <v>266</v>
      </c>
      <c r="B9" s="2" t="s">
        <v>13</v>
      </c>
      <c r="C9" s="13">
        <f>C6*'F4'!C24</f>
        <v>0</v>
      </c>
      <c r="D9" s="13">
        <f>D6*'F4'!D24</f>
        <v>0</v>
      </c>
      <c r="E9" s="13">
        <f>E6*'F4'!E24</f>
        <v>0</v>
      </c>
      <c r="F9" s="13">
        <f>F6*'F4'!F24</f>
        <v>27377.76109090908</v>
      </c>
      <c r="G9" s="13">
        <f>G6*'F4'!G24</f>
        <v>27788.42750727271</v>
      </c>
    </row>
    <row r="10" spans="1:7" x14ac:dyDescent="0.25">
      <c r="A10" t="s">
        <v>4</v>
      </c>
      <c r="B10" s="2" t="s">
        <v>13</v>
      </c>
      <c r="C10" s="4">
        <f>+C7*'F4'!C35</f>
        <v>0</v>
      </c>
      <c r="D10" s="4">
        <f>+D7*'F4'!D35</f>
        <v>0</v>
      </c>
      <c r="E10" s="4">
        <f>+E7*'F4'!E35</f>
        <v>0</v>
      </c>
      <c r="F10" s="4">
        <f>+F7*'F4'!F35</f>
        <v>0</v>
      </c>
      <c r="G10" s="4">
        <f>+G7*'F4'!G35</f>
        <v>0</v>
      </c>
    </row>
    <row r="12" spans="1:7" x14ac:dyDescent="0.25">
      <c r="A12" s="7" t="s">
        <v>260</v>
      </c>
    </row>
    <row r="13" spans="1:7" x14ac:dyDescent="0.25">
      <c r="A13" s="6" t="s">
        <v>8</v>
      </c>
      <c r="B13" t="s">
        <v>9</v>
      </c>
    </row>
    <row r="14" spans="1:7" x14ac:dyDescent="0.25">
      <c r="A14" s="3" t="s">
        <v>10</v>
      </c>
      <c r="C14" s="4">
        <f>'F1'!C50</f>
        <v>24</v>
      </c>
      <c r="D14" s="4">
        <f>'F1'!D50</f>
        <v>96</v>
      </c>
      <c r="E14" s="4">
        <f>'F1'!E50</f>
        <v>96</v>
      </c>
      <c r="F14" s="4">
        <f>'F1'!F50</f>
        <v>96</v>
      </c>
      <c r="G14" s="4">
        <f>'F1'!G50</f>
        <v>96</v>
      </c>
    </row>
    <row r="15" spans="1:7" x14ac:dyDescent="0.25">
      <c r="A15" s="3" t="s">
        <v>11</v>
      </c>
      <c r="C15" s="4">
        <f>'F1'!C63</f>
        <v>48</v>
      </c>
      <c r="D15" s="4">
        <f>'F1'!D63</f>
        <v>192</v>
      </c>
      <c r="E15" s="4">
        <f>'F1'!E63</f>
        <v>192</v>
      </c>
      <c r="F15" s="4">
        <f>'F1'!F63</f>
        <v>192</v>
      </c>
      <c r="G15" s="4">
        <f>'F1'!G63</f>
        <v>192</v>
      </c>
    </row>
    <row r="16" spans="1:7" x14ac:dyDescent="0.25">
      <c r="A16" s="3" t="s">
        <v>12</v>
      </c>
      <c r="C16" s="4">
        <f>'F1'!C75</f>
        <v>72</v>
      </c>
      <c r="D16" s="4">
        <f>'F1'!D75</f>
        <v>288</v>
      </c>
      <c r="E16" s="4">
        <f>'F1'!E75</f>
        <v>288</v>
      </c>
      <c r="F16" s="4">
        <f>'F1'!F75</f>
        <v>288</v>
      </c>
      <c r="G16" s="4">
        <f>'F1'!G75</f>
        <v>288</v>
      </c>
    </row>
    <row r="18" spans="1:8" x14ac:dyDescent="0.25">
      <c r="A18" s="6" t="s">
        <v>8</v>
      </c>
      <c r="B18" s="2" t="s">
        <v>13</v>
      </c>
      <c r="C18" s="13">
        <f>C19+C20</f>
        <v>2210.8142142857141</v>
      </c>
      <c r="D18" s="13">
        <f t="shared" ref="D18:G18" si="0">D19+D20</f>
        <v>8843.2568571428565</v>
      </c>
      <c r="E18" s="13">
        <f t="shared" si="0"/>
        <v>8843.2568571428565</v>
      </c>
      <c r="F18" s="13">
        <f t="shared" si="0"/>
        <v>8843.2568571428565</v>
      </c>
      <c r="G18" s="13">
        <f t="shared" si="0"/>
        <v>8843.2568571428565</v>
      </c>
    </row>
    <row r="19" spans="1:8" x14ac:dyDescent="0.25">
      <c r="A19" s="3" t="s">
        <v>388</v>
      </c>
      <c r="C19" s="397">
        <f>C14*'F1'!C87</f>
        <v>727.8805519480519</v>
      </c>
      <c r="D19" s="397">
        <f>D14*'F1'!D87</f>
        <v>2911.5222077922076</v>
      </c>
      <c r="E19" s="397">
        <f>E14*'F1'!E87</f>
        <v>2911.5222077922076</v>
      </c>
      <c r="F19" s="397">
        <f>F14*'F1'!F87</f>
        <v>2911.5222077922076</v>
      </c>
      <c r="G19" s="397">
        <f>G14*'F1'!G87</f>
        <v>2911.5222077922076</v>
      </c>
    </row>
    <row r="20" spans="1:8" x14ac:dyDescent="0.25">
      <c r="A20" s="3" t="s">
        <v>389</v>
      </c>
      <c r="C20" s="397">
        <f>+C15*'F1'!C93</f>
        <v>1482.9336623376623</v>
      </c>
      <c r="D20" s="397">
        <f>+D15*'F1'!D93</f>
        <v>5931.7346493506493</v>
      </c>
      <c r="E20" s="397">
        <f>+E15*'F1'!E93</f>
        <v>5931.7346493506493</v>
      </c>
      <c r="F20" s="397">
        <f>+F15*'F1'!F93</f>
        <v>5931.7346493506493</v>
      </c>
      <c r="G20" s="397">
        <f>+G15*'F1'!G93</f>
        <v>5931.7346493506493</v>
      </c>
    </row>
    <row r="22" spans="1:8" x14ac:dyDescent="0.25">
      <c r="A22" s="6" t="s">
        <v>14</v>
      </c>
      <c r="B22" s="2" t="s">
        <v>13</v>
      </c>
      <c r="C22" s="13">
        <f>'F1'!C137</f>
        <v>2500</v>
      </c>
      <c r="D22" s="13">
        <f>'F1'!D137</f>
        <v>5000</v>
      </c>
      <c r="E22" s="13">
        <f>'F1'!E137</f>
        <v>5000</v>
      </c>
      <c r="F22" s="13">
        <f>'F1'!F137</f>
        <v>5000</v>
      </c>
      <c r="G22" s="13">
        <f>'F1'!G137</f>
        <v>5000</v>
      </c>
    </row>
    <row r="24" spans="1:8" x14ac:dyDescent="0.25">
      <c r="A24" s="7" t="s">
        <v>15</v>
      </c>
    </row>
    <row r="25" spans="1:8" x14ac:dyDescent="0.25">
      <c r="A25" t="s">
        <v>16</v>
      </c>
      <c r="B25" s="2" t="s">
        <v>13</v>
      </c>
      <c r="C25" s="4">
        <f>'F1'!C151</f>
        <v>0</v>
      </c>
      <c r="D25" s="4">
        <f>'F1'!D151</f>
        <v>0</v>
      </c>
      <c r="E25" s="4">
        <f>'F1'!E151</f>
        <v>0</v>
      </c>
      <c r="F25" s="4">
        <f>'F1'!F151</f>
        <v>0</v>
      </c>
      <c r="G25" s="4">
        <f>'F1'!G151</f>
        <v>0</v>
      </c>
    </row>
    <row r="27" spans="1:8" x14ac:dyDescent="0.25">
      <c r="A27" s="7" t="s">
        <v>17</v>
      </c>
      <c r="B27" s="2" t="s">
        <v>13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t="s">
        <v>268</v>
      </c>
    </row>
    <row r="29" spans="1:8" x14ac:dyDescent="0.25">
      <c r="A29" s="7" t="s">
        <v>18</v>
      </c>
      <c r="B29" s="2" t="str">
        <f>B27</f>
        <v>€</v>
      </c>
      <c r="C29" s="13">
        <f>'F1'!C255*'F1'!C192</f>
        <v>0</v>
      </c>
      <c r="D29" s="13">
        <f>'F1'!D255*'F1'!D192</f>
        <v>0</v>
      </c>
      <c r="E29" s="13">
        <f>'F1'!E255*'F1'!E192</f>
        <v>0</v>
      </c>
      <c r="F29" s="13">
        <f>'F1'!F255*'F1'!F192</f>
        <v>1372.1</v>
      </c>
      <c r="G29" s="13">
        <f>'F1'!G255*'F1'!G192</f>
        <v>1372.1</v>
      </c>
      <c r="H29" s="13"/>
    </row>
    <row r="30" spans="1:8" x14ac:dyDescent="0.25">
      <c r="A30" s="7"/>
      <c r="B30" s="2"/>
      <c r="C30" s="13"/>
      <c r="D30" s="13"/>
      <c r="E30" s="13"/>
      <c r="F30" s="13"/>
      <c r="G30" s="13"/>
    </row>
    <row r="31" spans="1:8" x14ac:dyDescent="0.25">
      <c r="A31" s="7" t="s">
        <v>31</v>
      </c>
      <c r="B31" s="2" t="str">
        <f>B29</f>
        <v>€</v>
      </c>
      <c r="C31" s="13">
        <f>'Bilan financier'!C131*'F1'!C233</f>
        <v>2368.6613008187464</v>
      </c>
      <c r="D31" s="13">
        <f>'Bilan financier'!D131*'F1'!D233</f>
        <v>9022.3703113063402</v>
      </c>
      <c r="E31" s="13">
        <f>'Bilan financier'!E131*'F1'!E233</f>
        <v>8677.4285786230812</v>
      </c>
      <c r="F31" s="13">
        <f>'Bilan financier'!F131*'F1'!F233</f>
        <v>0</v>
      </c>
      <c r="G31" s="13">
        <f>'Bilan financier'!G131*'F1'!G233</f>
        <v>0</v>
      </c>
    </row>
    <row r="32" spans="1:8" x14ac:dyDescent="0.25">
      <c r="A32" s="559" t="s">
        <v>21</v>
      </c>
      <c r="B32" s="559"/>
      <c r="C32" s="277">
        <f>C9+C10+C19+C20+C22+C25+C27+C29</f>
        <v>4710.8142142857141</v>
      </c>
      <c r="D32" s="277">
        <f t="shared" ref="D32:G32" si="1">D9+D10+D19+D20+D22+D25+D27+D29</f>
        <v>13843.256857142856</v>
      </c>
      <c r="E32" s="277">
        <f t="shared" si="1"/>
        <v>13843.256857142856</v>
      </c>
      <c r="F32" s="277">
        <f t="shared" si="1"/>
        <v>42593.117948051935</v>
      </c>
      <c r="G32" s="277">
        <f t="shared" si="1"/>
        <v>43003.784364415566</v>
      </c>
    </row>
    <row r="34" spans="1:7" x14ac:dyDescent="0.25">
      <c r="A34" t="s">
        <v>275</v>
      </c>
      <c r="B34" s="283">
        <v>0.03</v>
      </c>
      <c r="C34" s="4">
        <f>C32*$B$34</f>
        <v>141.32442642857143</v>
      </c>
      <c r="D34" s="4">
        <f t="shared" ref="D34:G34" si="2">D32*$B$34</f>
        <v>415.29770571428566</v>
      </c>
      <c r="E34" s="4">
        <f t="shared" si="2"/>
        <v>415.29770571428566</v>
      </c>
      <c r="F34" s="4">
        <f t="shared" si="2"/>
        <v>1277.793538441558</v>
      </c>
      <c r="G34" s="4">
        <f t="shared" si="2"/>
        <v>1290.113530932467</v>
      </c>
    </row>
    <row r="35" spans="1:7" s="393" customFormat="1" x14ac:dyDescent="0.25">
      <c r="A35" s="393" t="s">
        <v>276</v>
      </c>
      <c r="C35" s="394">
        <f>C34+C32</f>
        <v>4852.1386407142854</v>
      </c>
      <c r="D35" s="394">
        <f t="shared" ref="D35:G35" si="3">D34+D32</f>
        <v>14258.554562857142</v>
      </c>
      <c r="E35" s="394">
        <f t="shared" si="3"/>
        <v>14258.554562857142</v>
      </c>
      <c r="F35" s="394">
        <f t="shared" si="3"/>
        <v>43870.911486493496</v>
      </c>
      <c r="G35" s="394">
        <f t="shared" si="3"/>
        <v>44293.897895348033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06"/>
  <sheetViews>
    <sheetView tabSelected="1" zoomScale="90" zoomScaleNormal="90" workbookViewId="0">
      <pane ySplit="4" topLeftCell="A38" activePane="bottomLeft" state="frozen"/>
      <selection pane="bottomLeft" activeCell="F31" sqref="F31"/>
    </sheetView>
  </sheetViews>
  <sheetFormatPr baseColWidth="10" defaultRowHeight="15" x14ac:dyDescent="0.25"/>
  <cols>
    <col min="1" max="1" width="22.85546875" customWidth="1"/>
    <col min="2" max="2" width="11.42578125" customWidth="1"/>
    <col min="3" max="5" width="12" style="4" bestFit="1" customWidth="1"/>
    <col min="6" max="6" width="13.85546875" style="4" bestFit="1" customWidth="1"/>
    <col min="7" max="8" width="13.85546875" bestFit="1" customWidth="1"/>
    <col min="10" max="10" width="45.28515625" bestFit="1" customWidth="1"/>
    <col min="11" max="11" width="75.7109375" bestFit="1" customWidth="1"/>
    <col min="12" max="12" width="15.7109375" bestFit="1" customWidth="1"/>
    <col min="13" max="13" width="17.85546875" bestFit="1" customWidth="1"/>
    <col min="14" max="14" width="12" bestFit="1" customWidth="1"/>
    <col min="15" max="15" width="11.85546875" bestFit="1" customWidth="1"/>
    <col min="16" max="18" width="12.7109375" bestFit="1" customWidth="1"/>
    <col min="24" max="34" width="12" bestFit="1" customWidth="1"/>
    <col min="35" max="35" width="11.42578125" bestFit="1" customWidth="1"/>
  </cols>
  <sheetData>
    <row r="1" spans="1:48" x14ac:dyDescent="0.25">
      <c r="A1" t="s">
        <v>0</v>
      </c>
      <c r="J1" s="444" t="s">
        <v>445</v>
      </c>
      <c r="K1" s="444"/>
      <c r="L1" s="444"/>
      <c r="M1" s="444">
        <f>[4]F4!K257</f>
        <v>0</v>
      </c>
      <c r="N1" s="444">
        <f>[4]F4!L257</f>
        <v>0</v>
      </c>
      <c r="O1" s="444">
        <f>[4]F4!M257</f>
        <v>0</v>
      </c>
      <c r="P1" s="444">
        <f>[4]F4!N257</f>
        <v>0</v>
      </c>
      <c r="Q1" s="444">
        <f>[4]F4!O257</f>
        <v>0</v>
      </c>
      <c r="R1" s="444">
        <f>[4]F4!P257</f>
        <v>0</v>
      </c>
      <c r="S1" s="444">
        <f>[4]F4!Q257</f>
        <v>0</v>
      </c>
      <c r="T1" s="444">
        <f>[4]F4!R257</f>
        <v>0</v>
      </c>
      <c r="U1" s="444">
        <f>[4]F4!S257</f>
        <v>0</v>
      </c>
      <c r="V1" s="444">
        <f>[4]F4!T257</f>
        <v>0</v>
      </c>
      <c r="W1" s="444">
        <f>[4]F4!U257</f>
        <v>0</v>
      </c>
      <c r="X1" s="444">
        <f>[4]F4!V257</f>
        <v>0</v>
      </c>
      <c r="Y1" s="444">
        <f>[4]F4!W257</f>
        <v>0</v>
      </c>
      <c r="Z1" s="444">
        <f>[4]F4!X257</f>
        <v>0</v>
      </c>
      <c r="AA1" s="444">
        <f>[4]F4!Y257</f>
        <v>0</v>
      </c>
      <c r="AB1" s="444">
        <f>[4]F4!Z257</f>
        <v>0</v>
      </c>
      <c r="AC1" s="444">
        <f>[4]F4!AA257</f>
        <v>0</v>
      </c>
      <c r="AD1" s="444">
        <f>[4]F4!AB257</f>
        <v>0</v>
      </c>
      <c r="AE1" s="444">
        <f>[4]F4!AC257</f>
        <v>0</v>
      </c>
      <c r="AF1" s="444">
        <f>[4]F4!AD257</f>
        <v>0</v>
      </c>
      <c r="AG1" s="444">
        <f>[4]F4!AE257</f>
        <v>0</v>
      </c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</row>
    <row r="2" spans="1:48" x14ac:dyDescent="0.25">
      <c r="J2" s="445" t="s">
        <v>446</v>
      </c>
      <c r="K2" s="445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</row>
    <row r="3" spans="1:48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  <c r="J3" s="445" t="s">
        <v>447</v>
      </c>
      <c r="K3" s="445"/>
      <c r="L3" s="446"/>
      <c r="M3" s="446"/>
      <c r="N3" s="447">
        <v>2</v>
      </c>
      <c r="O3" s="447">
        <v>3</v>
      </c>
      <c r="P3" s="447">
        <f t="shared" ref="P3:AG4" si="0">O3+1</f>
        <v>4</v>
      </c>
      <c r="Q3" s="447">
        <f t="shared" si="0"/>
        <v>5</v>
      </c>
      <c r="R3" s="447">
        <f t="shared" si="0"/>
        <v>6</v>
      </c>
      <c r="S3" s="447">
        <f t="shared" si="0"/>
        <v>7</v>
      </c>
      <c r="T3" s="447">
        <f t="shared" si="0"/>
        <v>8</v>
      </c>
      <c r="U3" s="447">
        <f t="shared" si="0"/>
        <v>9</v>
      </c>
      <c r="V3" s="447">
        <f t="shared" si="0"/>
        <v>10</v>
      </c>
      <c r="W3" s="447">
        <f t="shared" si="0"/>
        <v>11</v>
      </c>
      <c r="X3" s="447">
        <f t="shared" si="0"/>
        <v>12</v>
      </c>
      <c r="Y3" s="447">
        <f t="shared" si="0"/>
        <v>13</v>
      </c>
      <c r="Z3" s="447">
        <f t="shared" si="0"/>
        <v>14</v>
      </c>
      <c r="AA3" s="447">
        <f t="shared" si="0"/>
        <v>15</v>
      </c>
      <c r="AB3" s="447">
        <f t="shared" si="0"/>
        <v>16</v>
      </c>
      <c r="AC3" s="447">
        <f t="shared" si="0"/>
        <v>17</v>
      </c>
      <c r="AD3" s="447">
        <f t="shared" si="0"/>
        <v>18</v>
      </c>
      <c r="AE3" s="447">
        <f t="shared" si="0"/>
        <v>19</v>
      </c>
      <c r="AF3" s="447">
        <f t="shared" si="0"/>
        <v>20</v>
      </c>
      <c r="AG3" s="447">
        <f t="shared" si="0"/>
        <v>21</v>
      </c>
    </row>
    <row r="4" spans="1:48" x14ac:dyDescent="0.25">
      <c r="A4" s="558" t="s">
        <v>22</v>
      </c>
      <c r="B4" s="558"/>
      <c r="C4" s="11"/>
      <c r="D4" s="11"/>
      <c r="E4" s="11"/>
      <c r="F4" s="11"/>
      <c r="G4" s="12"/>
      <c r="J4" s="445" t="s">
        <v>448</v>
      </c>
      <c r="K4" s="445"/>
      <c r="L4" s="448"/>
      <c r="M4" s="448">
        <v>2019</v>
      </c>
      <c r="N4" s="448">
        <v>2020</v>
      </c>
      <c r="O4" s="448">
        <f>N4+1</f>
        <v>2021</v>
      </c>
      <c r="P4" s="448">
        <f t="shared" si="0"/>
        <v>2022</v>
      </c>
      <c r="Q4" s="448">
        <f t="shared" si="0"/>
        <v>2023</v>
      </c>
      <c r="R4" s="448">
        <f t="shared" si="0"/>
        <v>2024</v>
      </c>
      <c r="S4" s="448">
        <f t="shared" si="0"/>
        <v>2025</v>
      </c>
      <c r="T4" s="448">
        <f t="shared" si="0"/>
        <v>2026</v>
      </c>
      <c r="U4" s="448">
        <f t="shared" si="0"/>
        <v>2027</v>
      </c>
      <c r="V4" s="448">
        <f t="shared" si="0"/>
        <v>2028</v>
      </c>
      <c r="W4" s="448">
        <f t="shared" si="0"/>
        <v>2029</v>
      </c>
      <c r="X4" s="448">
        <f t="shared" si="0"/>
        <v>2030</v>
      </c>
      <c r="Y4" s="448">
        <f t="shared" si="0"/>
        <v>2031</v>
      </c>
      <c r="Z4" s="448">
        <f t="shared" si="0"/>
        <v>2032</v>
      </c>
      <c r="AA4" s="448">
        <f t="shared" si="0"/>
        <v>2033</v>
      </c>
      <c r="AB4" s="448">
        <f t="shared" si="0"/>
        <v>2034</v>
      </c>
      <c r="AC4" s="448">
        <f t="shared" si="0"/>
        <v>2035</v>
      </c>
      <c r="AD4" s="448">
        <f t="shared" si="0"/>
        <v>2036</v>
      </c>
      <c r="AE4" s="448">
        <f t="shared" si="0"/>
        <v>2037</v>
      </c>
      <c r="AF4" s="448">
        <f t="shared" si="0"/>
        <v>2038</v>
      </c>
      <c r="AG4" s="448">
        <f t="shared" si="0"/>
        <v>2039</v>
      </c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</row>
    <row r="5" spans="1:48" x14ac:dyDescent="0.25">
      <c r="A5" s="7" t="s">
        <v>6</v>
      </c>
      <c r="J5" s="445" t="s">
        <v>449</v>
      </c>
      <c r="K5" s="445"/>
      <c r="L5" s="449"/>
      <c r="M5" s="450" t="s">
        <v>449</v>
      </c>
      <c r="N5" s="449" t="s">
        <v>449</v>
      </c>
      <c r="O5" s="449" t="s">
        <v>449</v>
      </c>
      <c r="P5" s="449" t="s">
        <v>449</v>
      </c>
      <c r="Q5" s="449" t="s">
        <v>449</v>
      </c>
      <c r="R5" s="449" t="s">
        <v>449</v>
      </c>
      <c r="S5" s="449" t="s">
        <v>449</v>
      </c>
      <c r="T5" s="449" t="s">
        <v>449</v>
      </c>
      <c r="U5" s="449" t="s">
        <v>449</v>
      </c>
      <c r="V5" s="449" t="s">
        <v>449</v>
      </c>
      <c r="W5" s="449" t="s">
        <v>449</v>
      </c>
      <c r="X5" s="449" t="s">
        <v>449</v>
      </c>
      <c r="Y5" s="449" t="s">
        <v>449</v>
      </c>
      <c r="Z5" s="449" t="s">
        <v>449</v>
      </c>
      <c r="AA5" s="449" t="s">
        <v>449</v>
      </c>
      <c r="AB5" s="449" t="s">
        <v>449</v>
      </c>
      <c r="AC5" s="449" t="s">
        <v>449</v>
      </c>
      <c r="AD5" s="449" t="s">
        <v>449</v>
      </c>
      <c r="AE5" s="449" t="s">
        <v>449</v>
      </c>
      <c r="AF5" s="449" t="s">
        <v>449</v>
      </c>
      <c r="AG5" s="449" t="s">
        <v>449</v>
      </c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</row>
    <row r="6" spans="1:48" x14ac:dyDescent="0.25">
      <c r="A6" t="s">
        <v>2</v>
      </c>
      <c r="B6" t="s">
        <v>3</v>
      </c>
      <c r="C6" s="4">
        <f>'F1'!C15</f>
        <v>0</v>
      </c>
      <c r="D6" s="4">
        <f>'F1'!D15</f>
        <v>0</v>
      </c>
      <c r="E6" s="4">
        <f>'F1'!E15</f>
        <v>0</v>
      </c>
      <c r="F6" s="4">
        <f>'F1'!F15</f>
        <v>3365</v>
      </c>
      <c r="G6" s="4">
        <f>'F1'!G15</f>
        <v>3365</v>
      </c>
      <c r="J6" s="445"/>
      <c r="K6" s="451"/>
    </row>
    <row r="7" spans="1:48" x14ac:dyDescent="0.25">
      <c r="A7" t="s">
        <v>4</v>
      </c>
      <c r="B7" t="s">
        <v>5</v>
      </c>
      <c r="C7" s="4">
        <f>'F1'!C36</f>
        <v>0</v>
      </c>
      <c r="D7" s="4">
        <f>'F1'!D36</f>
        <v>0</v>
      </c>
      <c r="E7" s="4">
        <f>'F1'!E36</f>
        <v>0</v>
      </c>
      <c r="F7" s="4">
        <f>'F1'!F36</f>
        <v>565</v>
      </c>
      <c r="G7" s="4">
        <f>'F1'!G36</f>
        <v>565</v>
      </c>
      <c r="J7" s="452" t="s">
        <v>450</v>
      </c>
      <c r="K7" s="453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</row>
    <row r="8" spans="1:48" x14ac:dyDescent="0.25">
      <c r="G8" s="4"/>
      <c r="J8" s="455" t="s">
        <v>451</v>
      </c>
      <c r="K8" s="456">
        <v>43647</v>
      </c>
      <c r="L8" s="457"/>
      <c r="M8" s="458"/>
      <c r="N8" s="459"/>
      <c r="O8" s="459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</row>
    <row r="9" spans="1:48" x14ac:dyDescent="0.25">
      <c r="A9" t="s">
        <v>2</v>
      </c>
      <c r="B9" s="2" t="s">
        <v>13</v>
      </c>
      <c r="C9" s="4">
        <f>C6*'F4'!C65</f>
        <v>0</v>
      </c>
      <c r="D9" s="4">
        <f>D6*'F4'!D65</f>
        <v>0</v>
      </c>
      <c r="E9" s="13">
        <f>E6*'F4'!E65</f>
        <v>0</v>
      </c>
      <c r="F9" s="13">
        <f>F6*'F4'!F65</f>
        <v>154837.53935226781</v>
      </c>
      <c r="G9" s="13">
        <f>G6*'F4'!G65</f>
        <v>156689.84785074901</v>
      </c>
      <c r="J9" s="455" t="s">
        <v>452</v>
      </c>
      <c r="K9" s="456">
        <v>43647</v>
      </c>
      <c r="L9" s="457"/>
      <c r="M9" s="460"/>
      <c r="N9" s="461"/>
      <c r="O9" s="459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</row>
    <row r="10" spans="1:48" x14ac:dyDescent="0.25">
      <c r="A10" t="s">
        <v>4</v>
      </c>
      <c r="B10" s="2" t="s">
        <v>13</v>
      </c>
      <c r="C10" s="4">
        <f>C7*'F4'!C75</f>
        <v>0</v>
      </c>
      <c r="D10" s="4">
        <f>D7*'F4'!D75</f>
        <v>0</v>
      </c>
      <c r="E10" s="13">
        <f>E7*'F4'!E75</f>
        <v>0</v>
      </c>
      <c r="F10" s="13">
        <f>F7*'F4'!F75</f>
        <v>29506.338962960002</v>
      </c>
      <c r="G10" s="13">
        <f>G7*'F4'!G75</f>
        <v>30391.529131848802</v>
      </c>
      <c r="J10" s="455" t="s">
        <v>453</v>
      </c>
      <c r="K10" s="456">
        <v>43661</v>
      </c>
      <c r="L10" s="457"/>
      <c r="M10" s="460"/>
      <c r="N10" s="461"/>
      <c r="O10" s="459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</row>
    <row r="11" spans="1:48" x14ac:dyDescent="0.25">
      <c r="J11" s="455" t="s">
        <v>454</v>
      </c>
      <c r="K11" s="462">
        <v>3</v>
      </c>
      <c r="L11" s="457"/>
      <c r="M11" s="460"/>
      <c r="N11" s="459"/>
      <c r="O11" s="459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</row>
    <row r="12" spans="1:48" x14ac:dyDescent="0.25">
      <c r="A12" s="7" t="s">
        <v>7</v>
      </c>
      <c r="J12" s="455" t="s">
        <v>455</v>
      </c>
      <c r="K12" s="456">
        <f>K10+K11*30</f>
        <v>43751</v>
      </c>
      <c r="L12" s="457"/>
      <c r="M12" s="460"/>
      <c r="N12" s="461"/>
      <c r="O12" s="459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</row>
    <row r="13" spans="1:48" x14ac:dyDescent="0.25">
      <c r="A13" s="6" t="s">
        <v>8</v>
      </c>
      <c r="B13" t="s">
        <v>9</v>
      </c>
      <c r="J13" s="455" t="s">
        <v>456</v>
      </c>
      <c r="K13" s="456">
        <v>43966</v>
      </c>
      <c r="L13" s="457"/>
      <c r="M13" s="460"/>
      <c r="N13" s="459"/>
      <c r="O13" s="461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</row>
    <row r="14" spans="1:48" x14ac:dyDescent="0.25">
      <c r="A14" s="3" t="s">
        <v>10</v>
      </c>
      <c r="C14" s="4">
        <f>'F1'!C51</f>
        <v>0</v>
      </c>
      <c r="D14" s="4">
        <f>'F1'!D51</f>
        <v>0</v>
      </c>
      <c r="E14" s="4">
        <f>'F1'!E51</f>
        <v>0</v>
      </c>
      <c r="F14" s="4">
        <f>'F1'!F51</f>
        <v>72</v>
      </c>
      <c r="G14" s="4">
        <f>'F1'!G51</f>
        <v>72</v>
      </c>
      <c r="J14" s="455" t="s">
        <v>457</v>
      </c>
      <c r="K14" s="462">
        <v>5</v>
      </c>
      <c r="L14" s="457"/>
      <c r="M14" s="460"/>
      <c r="N14" s="459"/>
      <c r="O14" s="459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</row>
    <row r="15" spans="1:48" x14ac:dyDescent="0.25">
      <c r="A15" s="3" t="s">
        <v>260</v>
      </c>
      <c r="C15" s="4">
        <f>'F1'!C64</f>
        <v>0</v>
      </c>
      <c r="D15" s="4">
        <f>'F1'!D64</f>
        <v>0</v>
      </c>
      <c r="E15" s="4">
        <f>'F1'!E64</f>
        <v>0</v>
      </c>
      <c r="F15" s="4">
        <f>'F1'!F64</f>
        <v>240</v>
      </c>
      <c r="G15" s="4">
        <f>'F1'!G64</f>
        <v>240</v>
      </c>
      <c r="J15" s="455" t="s">
        <v>458</v>
      </c>
      <c r="K15" s="456">
        <f>K13+K14*30</f>
        <v>44116</v>
      </c>
      <c r="L15" s="457"/>
      <c r="M15" s="460"/>
      <c r="N15" s="459"/>
      <c r="O15" s="461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</row>
    <row r="16" spans="1:48" x14ac:dyDescent="0.25">
      <c r="A16" s="3" t="s">
        <v>12</v>
      </c>
      <c r="C16" s="4">
        <f>'F1'!C76</f>
        <v>0</v>
      </c>
      <c r="D16" s="4">
        <f>'F1'!D76</f>
        <v>0</v>
      </c>
      <c r="E16" s="4">
        <f>'F1'!E76</f>
        <v>0</v>
      </c>
      <c r="F16" s="4">
        <f>'F1'!F76</f>
        <v>312</v>
      </c>
      <c r="G16" s="4">
        <f>'F1'!G76</f>
        <v>312</v>
      </c>
      <c r="J16" s="463"/>
      <c r="K16" s="456"/>
      <c r="L16" s="457"/>
      <c r="M16" s="460"/>
      <c r="N16" s="454"/>
      <c r="O16" s="454"/>
      <c r="P16" s="454"/>
      <c r="Q16" s="464"/>
      <c r="R16" s="46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</row>
    <row r="17" spans="1:48" x14ac:dyDescent="0.25">
      <c r="J17" s="455"/>
      <c r="K17" s="465"/>
      <c r="L17" s="457"/>
      <c r="M17" s="460"/>
      <c r="N17" s="454"/>
      <c r="O17" s="454"/>
      <c r="P17" s="454"/>
      <c r="Q17" s="464"/>
      <c r="R17" s="46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</row>
    <row r="18" spans="1:48" x14ac:dyDescent="0.25">
      <c r="A18" s="6" t="s">
        <v>8</v>
      </c>
      <c r="B18" s="2" t="s">
        <v>13</v>
      </c>
      <c r="J18" s="455" t="s">
        <v>459</v>
      </c>
      <c r="K18" s="456">
        <f>K15</f>
        <v>44116</v>
      </c>
      <c r="L18" s="457"/>
      <c r="M18" s="460"/>
      <c r="N18" s="454"/>
      <c r="O18" s="461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</row>
    <row r="19" spans="1:48" x14ac:dyDescent="0.25">
      <c r="A19" s="3" t="s">
        <v>10</v>
      </c>
      <c r="C19" s="4">
        <f>C14*'F1'!C87</f>
        <v>0</v>
      </c>
      <c r="D19" s="4">
        <f>D14*'F1'!D87</f>
        <v>0</v>
      </c>
      <c r="E19" s="13">
        <f>E14*'F1'!E87</f>
        <v>0</v>
      </c>
      <c r="F19" s="13">
        <f>F14*'F1'!F87</f>
        <v>2183.6416558441556</v>
      </c>
      <c r="G19" s="13">
        <f>G14*'F1'!G87</f>
        <v>2183.6416558441556</v>
      </c>
      <c r="J19" s="455" t="s">
        <v>460</v>
      </c>
      <c r="K19" s="455">
        <v>9</v>
      </c>
      <c r="L19" s="457"/>
      <c r="M19" s="460"/>
      <c r="N19" s="454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</row>
    <row r="20" spans="1:48" x14ac:dyDescent="0.25">
      <c r="A20" s="3" t="s">
        <v>11</v>
      </c>
      <c r="C20" s="4">
        <f>C15*'F1'!C93</f>
        <v>0</v>
      </c>
      <c r="D20" s="4">
        <f>D15*'F1'!D93</f>
        <v>0</v>
      </c>
      <c r="E20" s="13">
        <f>E15*'F1'!E93</f>
        <v>0</v>
      </c>
      <c r="F20" s="13">
        <f>F15*'F1'!F93</f>
        <v>7414.6683116883114</v>
      </c>
      <c r="G20" s="13">
        <f>G15*'F1'!G93</f>
        <v>7414.6683116883114</v>
      </c>
      <c r="J20" s="455" t="s">
        <v>461</v>
      </c>
      <c r="K20" s="456">
        <f>K18+K19*30</f>
        <v>44386</v>
      </c>
      <c r="L20" s="457"/>
      <c r="M20" s="460"/>
      <c r="N20" s="454"/>
      <c r="O20" s="459"/>
      <c r="P20" s="461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</row>
    <row r="21" spans="1:48" x14ac:dyDescent="0.25">
      <c r="J21" s="455" t="s">
        <v>462</v>
      </c>
      <c r="K21" s="466">
        <v>44409</v>
      </c>
      <c r="L21" s="457"/>
      <c r="M21" s="460"/>
      <c r="N21" s="454"/>
      <c r="O21" s="459"/>
      <c r="P21" s="461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</row>
    <row r="22" spans="1:48" s="4" customFormat="1" x14ac:dyDescent="0.25">
      <c r="A22" s="6" t="s">
        <v>14</v>
      </c>
      <c r="B22" s="2" t="s">
        <v>13</v>
      </c>
      <c r="C22" s="4">
        <f>'F1'!C138</f>
        <v>0</v>
      </c>
      <c r="D22" s="4">
        <f>'F1'!D138</f>
        <v>0</v>
      </c>
      <c r="E22" s="13">
        <f>'F1'!E138</f>
        <v>0</v>
      </c>
      <c r="F22" s="13">
        <f>'F1'!F138</f>
        <v>28413.32</v>
      </c>
      <c r="G22" s="13">
        <f>'F1'!G138</f>
        <v>28413.32</v>
      </c>
      <c r="J22" s="455" t="s">
        <v>463</v>
      </c>
      <c r="K22" s="455">
        <v>2</v>
      </c>
      <c r="L22" s="457"/>
      <c r="M22" s="460"/>
      <c r="N22" s="454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</row>
    <row r="23" spans="1:48" x14ac:dyDescent="0.25">
      <c r="J23" s="455" t="s">
        <v>464</v>
      </c>
      <c r="K23" s="466">
        <f>K21+K22*30</f>
        <v>44469</v>
      </c>
      <c r="L23" s="457"/>
      <c r="M23" s="460"/>
      <c r="N23" s="454"/>
      <c r="O23" s="459"/>
      <c r="P23" s="461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</row>
    <row r="24" spans="1:48" s="4" customFormat="1" x14ac:dyDescent="0.25">
      <c r="A24" s="7" t="s">
        <v>509</v>
      </c>
      <c r="B24"/>
      <c r="F24" s="551">
        <f>SUM(F25:F33)</f>
        <v>96699.218595352082</v>
      </c>
      <c r="G24" s="551">
        <f>SUM(G25:G33)</f>
        <v>95878.702789670817</v>
      </c>
      <c r="J24" s="455" t="s">
        <v>465</v>
      </c>
      <c r="K24" s="466">
        <f>K23</f>
        <v>44469</v>
      </c>
      <c r="L24" s="457"/>
      <c r="M24" s="460"/>
      <c r="N24" s="454"/>
      <c r="O24" s="459"/>
      <c r="P24" s="461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</row>
    <row r="25" spans="1:48" s="4" customFormat="1" x14ac:dyDescent="0.25">
      <c r="A25" t="s">
        <v>16</v>
      </c>
      <c r="B25" s="2" t="s">
        <v>13</v>
      </c>
      <c r="C25" s="4">
        <f>'F1'!C152</f>
        <v>0</v>
      </c>
      <c r="D25" s="4">
        <f>'F1'!D152</f>
        <v>0</v>
      </c>
      <c r="E25" s="13">
        <f>'F1'!E152</f>
        <v>0</v>
      </c>
      <c r="F25" s="13">
        <f>'F1'!F152</f>
        <v>15900</v>
      </c>
      <c r="G25" s="13">
        <f>'F1'!G152</f>
        <v>15900</v>
      </c>
      <c r="J25" s="455" t="s">
        <v>466</v>
      </c>
      <c r="K25" s="455">
        <v>2</v>
      </c>
      <c r="L25" s="457"/>
      <c r="M25" s="460"/>
      <c r="N25" s="454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</row>
    <row r="26" spans="1:48" x14ac:dyDescent="0.25">
      <c r="A26" t="s">
        <v>185</v>
      </c>
      <c r="E26" s="13"/>
      <c r="F26" s="13">
        <v>6500</v>
      </c>
      <c r="G26" s="13">
        <v>6500</v>
      </c>
      <c r="J26" s="455"/>
      <c r="K26" s="455"/>
      <c r="L26" s="457"/>
      <c r="M26" s="460"/>
      <c r="N26" s="454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</row>
    <row r="27" spans="1:48" s="4" customFormat="1" x14ac:dyDescent="0.25">
      <c r="A27" t="s">
        <v>8</v>
      </c>
      <c r="C27" s="4">
        <f>C20</f>
        <v>0</v>
      </c>
      <c r="D27" s="4">
        <f t="shared" ref="D27:G27" si="1">D20</f>
        <v>0</v>
      </c>
      <c r="E27" s="4">
        <f t="shared" si="1"/>
        <v>0</v>
      </c>
      <c r="F27" s="4">
        <f t="shared" si="1"/>
        <v>7414.6683116883114</v>
      </c>
      <c r="G27" s="4">
        <f t="shared" si="1"/>
        <v>7414.6683116883114</v>
      </c>
      <c r="J27" s="455" t="s">
        <v>467</v>
      </c>
      <c r="K27" s="466">
        <f>K24+K25*30</f>
        <v>44529</v>
      </c>
      <c r="L27" s="457"/>
      <c r="M27" s="460"/>
      <c r="N27" s="454"/>
      <c r="O27" s="459"/>
      <c r="P27" s="461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</row>
    <row r="28" spans="1:48" x14ac:dyDescent="0.25">
      <c r="A28" t="s">
        <v>187</v>
      </c>
      <c r="E28" s="13"/>
      <c r="F28" s="13">
        <v>1000</v>
      </c>
      <c r="G28" s="13">
        <v>1000</v>
      </c>
      <c r="J28" s="455" t="s">
        <v>468</v>
      </c>
      <c r="K28" s="455"/>
      <c r="L28" s="457"/>
      <c r="M28" s="460"/>
      <c r="N28" s="454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</row>
    <row r="29" spans="1:48" s="4" customFormat="1" x14ac:dyDescent="0.25">
      <c r="A29" t="s">
        <v>189</v>
      </c>
      <c r="E29" s="13"/>
      <c r="F29" s="13">
        <f>Q98</f>
        <v>17884.550283663779</v>
      </c>
      <c r="G29" s="13">
        <f>R98</f>
        <v>17064.03447798251</v>
      </c>
      <c r="J29" s="455" t="s">
        <v>469</v>
      </c>
      <c r="K29" s="455"/>
      <c r="L29" s="457"/>
      <c r="M29" s="460"/>
      <c r="N29" s="454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</row>
    <row r="30" spans="1:48" s="4" customFormat="1" x14ac:dyDescent="0.25">
      <c r="A30" t="s">
        <v>190</v>
      </c>
      <c r="E30" s="13"/>
      <c r="F30" s="13">
        <f>$L$46/$K$30</f>
        <v>80000</v>
      </c>
      <c r="G30" s="13">
        <f>$L$46/$K$30</f>
        <v>80000</v>
      </c>
      <c r="J30" s="455" t="s">
        <v>510</v>
      </c>
      <c r="K30" s="455">
        <v>25</v>
      </c>
      <c r="L30" s="457"/>
      <c r="M30" s="460"/>
      <c r="N30" s="454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</row>
    <row r="31" spans="1:48" s="4" customFormat="1" x14ac:dyDescent="0.25">
      <c r="A31" t="s">
        <v>191</v>
      </c>
      <c r="E31" s="13"/>
      <c r="F31" s="13">
        <f>$L$58/$K$30</f>
        <v>-32000</v>
      </c>
      <c r="G31" s="13">
        <f>$L$58/$K$30</f>
        <v>-32000</v>
      </c>
      <c r="J31" s="467"/>
      <c r="K31" s="467"/>
      <c r="L31" s="457"/>
      <c r="M31" s="460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</row>
    <row r="32" spans="1:48" s="4" customFormat="1" x14ac:dyDescent="0.25">
      <c r="A32"/>
      <c r="J32" s="467"/>
      <c r="K32" s="467"/>
      <c r="L32" s="468"/>
      <c r="M32" s="460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</row>
    <row r="33" spans="1:48" x14ac:dyDescent="0.25">
      <c r="J33" s="469" t="s">
        <v>470</v>
      </c>
      <c r="K33" s="470">
        <v>5.0000000000000001E-3</v>
      </c>
      <c r="L33" s="471"/>
      <c r="M33" s="459"/>
      <c r="N33" s="472">
        <v>5.0000000000000001E-3</v>
      </c>
      <c r="O33" s="472">
        <f t="shared" ref="O33:AG33" si="2">N33</f>
        <v>5.0000000000000001E-3</v>
      </c>
      <c r="P33" s="472">
        <f t="shared" si="2"/>
        <v>5.0000000000000001E-3</v>
      </c>
      <c r="Q33" s="472">
        <f>P33</f>
        <v>5.0000000000000001E-3</v>
      </c>
      <c r="R33" s="472">
        <f t="shared" si="2"/>
        <v>5.0000000000000001E-3</v>
      </c>
      <c r="S33" s="472">
        <f t="shared" si="2"/>
        <v>5.0000000000000001E-3</v>
      </c>
      <c r="T33" s="472">
        <f t="shared" si="2"/>
        <v>5.0000000000000001E-3</v>
      </c>
      <c r="U33" s="472">
        <f t="shared" si="2"/>
        <v>5.0000000000000001E-3</v>
      </c>
      <c r="V33" s="472">
        <f t="shared" si="2"/>
        <v>5.0000000000000001E-3</v>
      </c>
      <c r="W33" s="472">
        <f t="shared" si="2"/>
        <v>5.0000000000000001E-3</v>
      </c>
      <c r="X33" s="472">
        <f t="shared" si="2"/>
        <v>5.0000000000000001E-3</v>
      </c>
      <c r="Y33" s="472">
        <f t="shared" si="2"/>
        <v>5.0000000000000001E-3</v>
      </c>
      <c r="Z33" s="472">
        <f t="shared" si="2"/>
        <v>5.0000000000000001E-3</v>
      </c>
      <c r="AA33" s="472">
        <f t="shared" si="2"/>
        <v>5.0000000000000001E-3</v>
      </c>
      <c r="AB33" s="472">
        <f t="shared" si="2"/>
        <v>5.0000000000000001E-3</v>
      </c>
      <c r="AC33" s="472">
        <f t="shared" si="2"/>
        <v>5.0000000000000001E-3</v>
      </c>
      <c r="AD33" s="472">
        <f t="shared" si="2"/>
        <v>5.0000000000000001E-3</v>
      </c>
      <c r="AE33" s="472">
        <f t="shared" si="2"/>
        <v>5.0000000000000001E-3</v>
      </c>
      <c r="AF33" s="472">
        <f t="shared" si="2"/>
        <v>5.0000000000000001E-3</v>
      </c>
      <c r="AG33" s="472">
        <f t="shared" si="2"/>
        <v>5.0000000000000001E-3</v>
      </c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</row>
    <row r="34" spans="1:48" x14ac:dyDescent="0.25">
      <c r="A34" s="7" t="s">
        <v>17</v>
      </c>
      <c r="B34" s="2" t="s">
        <v>13</v>
      </c>
      <c r="C34" s="4">
        <f>'F1'!C167</f>
        <v>0</v>
      </c>
      <c r="D34" s="4">
        <f>'F1'!D167</f>
        <v>0</v>
      </c>
      <c r="E34" s="13">
        <f>'F1'!E167</f>
        <v>0</v>
      </c>
      <c r="F34" s="13">
        <f>'F1'!F167</f>
        <v>33432.687531048185</v>
      </c>
      <c r="G34" s="13">
        <f>'F1'!G167</f>
        <v>33432.687531048185</v>
      </c>
      <c r="J34" s="469"/>
      <c r="K34" s="470"/>
      <c r="L34" s="473"/>
      <c r="M34" s="459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</row>
    <row r="35" spans="1:48" ht="24.75" x14ac:dyDescent="0.25">
      <c r="J35" s="474" t="s">
        <v>471</v>
      </c>
      <c r="K35" s="470">
        <v>0</v>
      </c>
      <c r="L35" s="471">
        <v>-1.2E-2</v>
      </c>
      <c r="M35" s="459"/>
      <c r="N35" s="472">
        <f>K35</f>
        <v>0</v>
      </c>
      <c r="O35" s="472">
        <f>N35</f>
        <v>0</v>
      </c>
      <c r="P35" s="472">
        <f t="shared" ref="P35:AF35" si="3">O35</f>
        <v>0</v>
      </c>
      <c r="Q35" s="472">
        <f>P35</f>
        <v>0</v>
      </c>
      <c r="R35" s="472">
        <f t="shared" si="3"/>
        <v>0</v>
      </c>
      <c r="S35" s="472">
        <f t="shared" si="3"/>
        <v>0</v>
      </c>
      <c r="T35" s="472">
        <f t="shared" si="3"/>
        <v>0</v>
      </c>
      <c r="U35" s="472">
        <f t="shared" si="3"/>
        <v>0</v>
      </c>
      <c r="V35" s="472">
        <f t="shared" si="3"/>
        <v>0</v>
      </c>
      <c r="W35" s="472">
        <f t="shared" si="3"/>
        <v>0</v>
      </c>
      <c r="X35" s="472">
        <f t="shared" si="3"/>
        <v>0</v>
      </c>
      <c r="Y35" s="472">
        <f t="shared" si="3"/>
        <v>0</v>
      </c>
      <c r="Z35" s="472">
        <f t="shared" si="3"/>
        <v>0</v>
      </c>
      <c r="AA35" s="472">
        <f t="shared" si="3"/>
        <v>0</v>
      </c>
      <c r="AB35" s="472">
        <f t="shared" si="3"/>
        <v>0</v>
      </c>
      <c r="AC35" s="472">
        <f t="shared" si="3"/>
        <v>0</v>
      </c>
      <c r="AD35" s="472">
        <f t="shared" si="3"/>
        <v>0</v>
      </c>
      <c r="AE35" s="472">
        <f t="shared" si="3"/>
        <v>0</v>
      </c>
      <c r="AF35" s="472">
        <f t="shared" si="3"/>
        <v>0</v>
      </c>
      <c r="AG35" s="472">
        <f>AF35</f>
        <v>0</v>
      </c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</row>
    <row r="36" spans="1:48" x14ac:dyDescent="0.25">
      <c r="A36" s="7" t="s">
        <v>18</v>
      </c>
      <c r="B36" s="2" t="s">
        <v>13</v>
      </c>
      <c r="C36" s="278"/>
      <c r="D36" s="278"/>
      <c r="E36" s="278"/>
      <c r="F36" s="278">
        <f>'F1'!F256*'F1'!F192</f>
        <v>5771.3956250000001</v>
      </c>
      <c r="G36" s="278">
        <f>'F1'!G256*'F1'!G192</f>
        <v>5771.3956250000001</v>
      </c>
      <c r="J36" s="469" t="s">
        <v>117</v>
      </c>
      <c r="K36" s="470"/>
      <c r="L36" s="473"/>
      <c r="M36" s="459"/>
      <c r="N36" s="475">
        <v>1</v>
      </c>
      <c r="O36" s="475">
        <f>N36*(1+O35)</f>
        <v>1</v>
      </c>
      <c r="P36" s="475">
        <f t="shared" ref="P36:AG36" si="4">O36*(1+P35)</f>
        <v>1</v>
      </c>
      <c r="Q36" s="475">
        <f>P36*(1+Q35)</f>
        <v>1</v>
      </c>
      <c r="R36" s="475">
        <f t="shared" si="4"/>
        <v>1</v>
      </c>
      <c r="S36" s="475">
        <f t="shared" si="4"/>
        <v>1</v>
      </c>
      <c r="T36" s="475">
        <f t="shared" si="4"/>
        <v>1</v>
      </c>
      <c r="U36" s="475">
        <f t="shared" si="4"/>
        <v>1</v>
      </c>
      <c r="V36" s="475">
        <f t="shared" si="4"/>
        <v>1</v>
      </c>
      <c r="W36" s="475">
        <f t="shared" si="4"/>
        <v>1</v>
      </c>
      <c r="X36" s="475">
        <f t="shared" si="4"/>
        <v>1</v>
      </c>
      <c r="Y36" s="475">
        <f t="shared" si="4"/>
        <v>1</v>
      </c>
      <c r="Z36" s="475">
        <f t="shared" si="4"/>
        <v>1</v>
      </c>
      <c r="AA36" s="475">
        <f t="shared" si="4"/>
        <v>1</v>
      </c>
      <c r="AB36" s="475">
        <f t="shared" si="4"/>
        <v>1</v>
      </c>
      <c r="AC36" s="475">
        <f t="shared" si="4"/>
        <v>1</v>
      </c>
      <c r="AD36" s="475">
        <f t="shared" si="4"/>
        <v>1</v>
      </c>
      <c r="AE36" s="475">
        <f t="shared" si="4"/>
        <v>1</v>
      </c>
      <c r="AF36" s="475">
        <f t="shared" si="4"/>
        <v>1</v>
      </c>
      <c r="AG36" s="475">
        <f t="shared" si="4"/>
        <v>1</v>
      </c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</row>
    <row r="37" spans="1:48" x14ac:dyDescent="0.25">
      <c r="A37" s="7"/>
      <c r="C37" s="278"/>
      <c r="D37" s="278"/>
      <c r="E37" s="278"/>
      <c r="F37" s="278"/>
      <c r="G37" s="278"/>
      <c r="J37" s="469"/>
      <c r="K37" s="469"/>
      <c r="L37" s="476"/>
      <c r="M37" s="459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</row>
    <row r="38" spans="1:48" x14ac:dyDescent="0.25">
      <c r="A38" s="7" t="s">
        <v>31</v>
      </c>
      <c r="B38" s="2" t="s">
        <v>13</v>
      </c>
      <c r="C38" s="278"/>
      <c r="D38" s="278"/>
      <c r="E38" s="278"/>
      <c r="F38" s="278">
        <f>'F1'!F234*'Bilan financier'!E131</f>
        <v>24553.847593902217</v>
      </c>
      <c r="G38" s="278">
        <f>'F1'!G234*'Bilan financier'!F131</f>
        <v>0</v>
      </c>
      <c r="J38" s="477"/>
      <c r="K38" s="478"/>
    </row>
    <row r="39" spans="1:48" x14ac:dyDescent="0.25">
      <c r="A39" s="559" t="s">
        <v>21</v>
      </c>
      <c r="B39" s="559"/>
      <c r="C39" s="279">
        <f>C9+C10+C19+C20+C22+C25+C34+C36+C38</f>
        <v>0</v>
      </c>
      <c r="D39" s="279">
        <f>D9+D10+D19+D20+D22+D25+D34+D36+D38</f>
        <v>0</v>
      </c>
      <c r="E39" s="279">
        <f>E9+E10+E19+E20+E22+E25+E34+E36+E38</f>
        <v>0</v>
      </c>
      <c r="F39" s="279">
        <f>F9+F10+F19+F22+F24+F34+F36+F38</f>
        <v>375397.98931637447</v>
      </c>
      <c r="G39" s="279">
        <f>G9+G10+G19+G22+G24+G34+G36+G38</f>
        <v>352761.12458416098</v>
      </c>
      <c r="J39" s="479"/>
      <c r="K39" s="283"/>
    </row>
    <row r="40" spans="1:48" x14ac:dyDescent="0.25">
      <c r="A40" s="283">
        <v>0.02</v>
      </c>
      <c r="C40" s="4">
        <f>C39*$A$40</f>
        <v>0</v>
      </c>
      <c r="D40" s="4">
        <f t="shared" ref="D40:G40" si="5">D39*$A$40</f>
        <v>0</v>
      </c>
      <c r="E40" s="4">
        <f t="shared" si="5"/>
        <v>0</v>
      </c>
      <c r="F40" s="4">
        <f t="shared" si="5"/>
        <v>7507.9597863274894</v>
      </c>
      <c r="G40" s="4">
        <f t="shared" si="5"/>
        <v>7055.2224916832201</v>
      </c>
      <c r="J40" s="479"/>
      <c r="K40" s="283"/>
    </row>
    <row r="41" spans="1:48" ht="15.75" x14ac:dyDescent="0.25">
      <c r="A41" s="393" t="s">
        <v>276</v>
      </c>
      <c r="F41" s="4">
        <f>F39+F40</f>
        <v>382905.94910270197</v>
      </c>
      <c r="G41" s="4">
        <f>G39+G40</f>
        <v>359816.34707584418</v>
      </c>
      <c r="J41" s="479"/>
      <c r="K41" s="480" t="s">
        <v>472</v>
      </c>
      <c r="L41" s="481"/>
      <c r="M41" s="482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3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</row>
    <row r="42" spans="1:48" x14ac:dyDescent="0.25">
      <c r="J42" s="479"/>
      <c r="K42" s="484"/>
      <c r="L42" s="484"/>
      <c r="M42" s="485" t="s">
        <v>473</v>
      </c>
      <c r="N42" s="486">
        <f>M4</f>
        <v>2019</v>
      </c>
      <c r="O42" s="486">
        <f t="shared" ref="O42:AG42" si="6">N4</f>
        <v>2020</v>
      </c>
      <c r="P42" s="486">
        <f t="shared" si="6"/>
        <v>2021</v>
      </c>
      <c r="Q42" s="486">
        <f t="shared" si="6"/>
        <v>2022</v>
      </c>
      <c r="R42" s="486">
        <f t="shared" si="6"/>
        <v>2023</v>
      </c>
      <c r="S42" s="486">
        <f t="shared" si="6"/>
        <v>2024</v>
      </c>
      <c r="T42" s="486">
        <f t="shared" si="6"/>
        <v>2025</v>
      </c>
      <c r="U42" s="486">
        <f t="shared" si="6"/>
        <v>2026</v>
      </c>
      <c r="V42" s="486">
        <f t="shared" si="6"/>
        <v>2027</v>
      </c>
      <c r="W42" s="486">
        <f t="shared" si="6"/>
        <v>2028</v>
      </c>
      <c r="X42" s="486">
        <f t="shared" si="6"/>
        <v>2029</v>
      </c>
      <c r="Y42" s="486">
        <f t="shared" si="6"/>
        <v>2030</v>
      </c>
      <c r="Z42" s="486">
        <f t="shared" si="6"/>
        <v>2031</v>
      </c>
      <c r="AA42" s="486">
        <f t="shared" si="6"/>
        <v>2032</v>
      </c>
      <c r="AB42" s="486">
        <f t="shared" si="6"/>
        <v>2033</v>
      </c>
      <c r="AC42" s="486">
        <f t="shared" si="6"/>
        <v>2034</v>
      </c>
      <c r="AD42" s="486">
        <f t="shared" si="6"/>
        <v>2035</v>
      </c>
      <c r="AE42" s="486">
        <f t="shared" si="6"/>
        <v>2036</v>
      </c>
      <c r="AF42" s="486">
        <f t="shared" si="6"/>
        <v>2037</v>
      </c>
      <c r="AG42" s="486">
        <f t="shared" si="6"/>
        <v>2038</v>
      </c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</row>
    <row r="43" spans="1:48" x14ac:dyDescent="0.25">
      <c r="A43" t="s">
        <v>511</v>
      </c>
      <c r="F43" s="4">
        <f>F9+F10+F19</f>
        <v>186527.51997107195</v>
      </c>
      <c r="J43" s="479"/>
      <c r="K43" s="487" t="s">
        <v>474</v>
      </c>
      <c r="L43" s="488"/>
      <c r="M43" s="488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</row>
    <row r="44" spans="1:48" x14ac:dyDescent="0.25">
      <c r="A44" t="s">
        <v>512</v>
      </c>
      <c r="F44" s="4">
        <f>F39-F43</f>
        <v>188870.46934530252</v>
      </c>
      <c r="J44" s="479"/>
      <c r="K44" s="489" t="s">
        <v>475</v>
      </c>
      <c r="L44" s="490">
        <v>2000000</v>
      </c>
      <c r="M44" s="491">
        <f>SUM(N44:AG44)</f>
        <v>2000000</v>
      </c>
      <c r="N44" s="492">
        <f>$L44*N56*N$36</f>
        <v>100000</v>
      </c>
      <c r="O44" s="492">
        <f t="shared" ref="O44:AG44" si="7">$L44*O56*O$36</f>
        <v>700000</v>
      </c>
      <c r="P44" s="492">
        <f t="shared" si="7"/>
        <v>1000000</v>
      </c>
      <c r="Q44" s="492">
        <f t="shared" si="7"/>
        <v>200000</v>
      </c>
      <c r="R44" s="492">
        <f t="shared" si="7"/>
        <v>0</v>
      </c>
      <c r="S44" s="492">
        <f t="shared" si="7"/>
        <v>0</v>
      </c>
      <c r="T44" s="492">
        <f t="shared" si="7"/>
        <v>0</v>
      </c>
      <c r="U44" s="492">
        <f t="shared" si="7"/>
        <v>0</v>
      </c>
      <c r="V44" s="492">
        <f t="shared" si="7"/>
        <v>0</v>
      </c>
      <c r="W44" s="492">
        <f t="shared" si="7"/>
        <v>0</v>
      </c>
      <c r="X44" s="492">
        <f t="shared" si="7"/>
        <v>0</v>
      </c>
      <c r="Y44" s="492">
        <f t="shared" si="7"/>
        <v>0</v>
      </c>
      <c r="Z44" s="492">
        <f t="shared" si="7"/>
        <v>0</v>
      </c>
      <c r="AA44" s="492">
        <f t="shared" si="7"/>
        <v>0</v>
      </c>
      <c r="AB44" s="492">
        <f t="shared" si="7"/>
        <v>0</v>
      </c>
      <c r="AC44" s="492">
        <f t="shared" si="7"/>
        <v>0</v>
      </c>
      <c r="AD44" s="492">
        <f t="shared" si="7"/>
        <v>0</v>
      </c>
      <c r="AE44" s="492">
        <f t="shared" si="7"/>
        <v>0</v>
      </c>
      <c r="AF44" s="492">
        <f t="shared" si="7"/>
        <v>0</v>
      </c>
      <c r="AG44" s="492">
        <f t="shared" si="7"/>
        <v>0</v>
      </c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79"/>
      <c r="AS44" s="479"/>
      <c r="AT44" s="479"/>
      <c r="AU44" s="479"/>
      <c r="AV44" s="479"/>
    </row>
    <row r="45" spans="1:48" x14ac:dyDescent="0.25">
      <c r="A45" t="s">
        <v>445</v>
      </c>
      <c r="F45" s="4">
        <f>F41/(F6+F7)</f>
        <v>97.431539211883447</v>
      </c>
      <c r="J45" s="493"/>
      <c r="K45" s="489"/>
      <c r="L45" s="490"/>
      <c r="M45" s="491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</row>
    <row r="46" spans="1:48" x14ac:dyDescent="0.25">
      <c r="J46" s="454"/>
      <c r="K46" s="494" t="s">
        <v>476</v>
      </c>
      <c r="L46" s="495">
        <f>SUM(L44:L45)</f>
        <v>2000000</v>
      </c>
      <c r="M46" s="495">
        <f>SUM(M44:M45)</f>
        <v>2000000</v>
      </c>
      <c r="N46" s="492">
        <f>SUM(N44:N45)</f>
        <v>100000</v>
      </c>
      <c r="O46" s="492">
        <f t="shared" ref="O46:T46" si="8">SUM(O44:O45)</f>
        <v>700000</v>
      </c>
      <c r="P46" s="492">
        <f t="shared" si="8"/>
        <v>1000000</v>
      </c>
      <c r="Q46" s="492">
        <f t="shared" si="8"/>
        <v>200000</v>
      </c>
      <c r="R46" s="492">
        <f t="shared" si="8"/>
        <v>0</v>
      </c>
      <c r="S46" s="492">
        <f t="shared" si="8"/>
        <v>0</v>
      </c>
      <c r="T46" s="492">
        <f t="shared" si="8"/>
        <v>0</v>
      </c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</row>
    <row r="47" spans="1:48" x14ac:dyDescent="0.25">
      <c r="J47" s="454"/>
      <c r="K47" s="497"/>
      <c r="L47" s="490"/>
      <c r="M47" s="490"/>
      <c r="N47" s="492"/>
      <c r="O47" s="492"/>
      <c r="P47" s="498"/>
      <c r="Q47" s="498"/>
      <c r="R47" s="498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</row>
    <row r="48" spans="1:48" x14ac:dyDescent="0.25">
      <c r="J48" s="454"/>
      <c r="K48" s="494" t="s">
        <v>477</v>
      </c>
      <c r="L48" s="549">
        <v>0.4</v>
      </c>
      <c r="M48" s="490"/>
      <c r="N48" s="492"/>
      <c r="O48" s="492"/>
      <c r="P48" s="498"/>
      <c r="Q48" s="498"/>
      <c r="R48" s="498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</row>
    <row r="49" spans="1:48" x14ac:dyDescent="0.25">
      <c r="J49" s="454"/>
      <c r="K49" s="499" t="s">
        <v>478</v>
      </c>
      <c r="L49" s="490">
        <f>L46*L48</f>
        <v>800000</v>
      </c>
      <c r="M49" s="490">
        <f>L49</f>
        <v>800000</v>
      </c>
      <c r="N49" s="492">
        <f>$L$49*N58</f>
        <v>0</v>
      </c>
      <c r="O49" s="492">
        <f t="shared" ref="O49:AG49" si="9">$L$49*O58</f>
        <v>400000</v>
      </c>
      <c r="P49" s="492">
        <f t="shared" si="9"/>
        <v>320000</v>
      </c>
      <c r="Q49" s="492">
        <f t="shared" si="9"/>
        <v>80000</v>
      </c>
      <c r="R49" s="492">
        <f t="shared" si="9"/>
        <v>0</v>
      </c>
      <c r="S49" s="492">
        <f t="shared" si="9"/>
        <v>0</v>
      </c>
      <c r="T49" s="492">
        <f t="shared" si="9"/>
        <v>0</v>
      </c>
      <c r="U49" s="492">
        <f t="shared" si="9"/>
        <v>0</v>
      </c>
      <c r="V49" s="492">
        <f t="shared" si="9"/>
        <v>0</v>
      </c>
      <c r="W49" s="492">
        <f t="shared" si="9"/>
        <v>0</v>
      </c>
      <c r="X49" s="492">
        <f t="shared" si="9"/>
        <v>0</v>
      </c>
      <c r="Y49" s="492">
        <f t="shared" si="9"/>
        <v>0</v>
      </c>
      <c r="Z49" s="492">
        <f t="shared" si="9"/>
        <v>0</v>
      </c>
      <c r="AA49" s="492">
        <f t="shared" si="9"/>
        <v>0</v>
      </c>
      <c r="AB49" s="492">
        <f t="shared" si="9"/>
        <v>0</v>
      </c>
      <c r="AC49" s="492">
        <f t="shared" si="9"/>
        <v>0</v>
      </c>
      <c r="AD49" s="492">
        <f t="shared" si="9"/>
        <v>0</v>
      </c>
      <c r="AE49" s="492">
        <f t="shared" si="9"/>
        <v>0</v>
      </c>
      <c r="AF49" s="492">
        <f t="shared" si="9"/>
        <v>0</v>
      </c>
      <c r="AG49" s="492">
        <f t="shared" si="9"/>
        <v>0</v>
      </c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</row>
    <row r="50" spans="1:48" x14ac:dyDescent="0.25">
      <c r="J50" s="454"/>
      <c r="K50" s="499"/>
      <c r="L50" s="490"/>
      <c r="M50" s="490"/>
      <c r="N50" s="492"/>
      <c r="O50" s="492"/>
      <c r="P50" s="498"/>
      <c r="Q50" s="498"/>
      <c r="R50" s="498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</row>
    <row r="51" spans="1:48" x14ac:dyDescent="0.25">
      <c r="J51" s="454"/>
      <c r="K51" s="497"/>
      <c r="L51" s="490"/>
      <c r="M51" s="490"/>
      <c r="N51" s="492"/>
      <c r="O51" s="492"/>
      <c r="P51" s="498"/>
      <c r="Q51" s="498"/>
      <c r="R51" s="498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</row>
    <row r="52" spans="1:48" x14ac:dyDescent="0.25">
      <c r="J52" s="454"/>
      <c r="K52" s="494" t="s">
        <v>479</v>
      </c>
      <c r="L52" s="495">
        <f>L46-L49</f>
        <v>1200000</v>
      </c>
      <c r="M52" s="495">
        <f>M46-M49</f>
        <v>1200000</v>
      </c>
      <c r="N52" s="500">
        <f>N44+N45-N49</f>
        <v>100000</v>
      </c>
      <c r="O52" s="500">
        <f>O44+O45-O49</f>
        <v>300000</v>
      </c>
      <c r="P52" s="500">
        <f>P44+P45-P49</f>
        <v>680000</v>
      </c>
      <c r="Q52" s="500">
        <f>Q44+Q45-Q49</f>
        <v>120000</v>
      </c>
      <c r="R52" s="500">
        <f>R44+R45-R49</f>
        <v>0</v>
      </c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</row>
    <row r="53" spans="1:48" x14ac:dyDescent="0.25">
      <c r="J53" s="479"/>
      <c r="K53" s="501"/>
      <c r="L53" s="502"/>
      <c r="M53" s="503"/>
      <c r="N53" s="498"/>
      <c r="O53" s="498"/>
      <c r="P53" s="498"/>
      <c r="Q53" s="498"/>
      <c r="R53" s="498"/>
      <c r="S53" s="504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  <c r="AF53" s="498"/>
      <c r="AG53" s="498"/>
      <c r="AH53" s="479"/>
      <c r="AI53" s="479"/>
      <c r="AJ53" s="479"/>
      <c r="AK53" s="479"/>
      <c r="AL53" s="479"/>
      <c r="AM53" s="479"/>
      <c r="AN53" s="479"/>
      <c r="AO53" s="479"/>
      <c r="AP53" s="479"/>
      <c r="AQ53" s="479"/>
      <c r="AR53" s="479"/>
      <c r="AS53" s="479"/>
      <c r="AT53" s="479"/>
      <c r="AU53" s="479"/>
      <c r="AV53" s="479"/>
    </row>
    <row r="54" spans="1:48" x14ac:dyDescent="0.25">
      <c r="J54" s="479"/>
      <c r="K54" s="494" t="s">
        <v>480</v>
      </c>
      <c r="L54" s="505"/>
      <c r="M54" s="506"/>
      <c r="N54" s="498"/>
      <c r="O54" s="498"/>
      <c r="P54" s="498"/>
      <c r="Q54" s="498"/>
      <c r="R54" s="498"/>
      <c r="S54" s="504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79"/>
      <c r="AI54" s="479"/>
      <c r="AJ54" s="479"/>
      <c r="AK54" s="479"/>
      <c r="AL54" s="479"/>
      <c r="AM54" s="479"/>
      <c r="AN54" s="479"/>
      <c r="AO54" s="479"/>
      <c r="AP54" s="479"/>
      <c r="AQ54" s="479"/>
      <c r="AR54" s="479"/>
      <c r="AS54" s="479"/>
      <c r="AT54" s="479"/>
      <c r="AU54" s="479"/>
      <c r="AV54" s="479"/>
    </row>
    <row r="55" spans="1:48" x14ac:dyDescent="0.25">
      <c r="J55" s="479"/>
      <c r="K55" s="507"/>
      <c r="L55" s="505"/>
      <c r="M55" s="508"/>
      <c r="N55" s="498"/>
      <c r="O55" s="498"/>
      <c r="P55" s="498"/>
      <c r="Q55" s="498"/>
      <c r="R55" s="498"/>
      <c r="S55" s="504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79"/>
      <c r="AI55" s="479"/>
      <c r="AJ55" s="479"/>
      <c r="AK55" s="479"/>
      <c r="AL55" s="479"/>
      <c r="AM55" s="479"/>
      <c r="AN55" s="479"/>
      <c r="AO55" s="479"/>
      <c r="AP55" s="479"/>
      <c r="AQ55" s="479"/>
      <c r="AR55" s="479"/>
      <c r="AS55" s="479"/>
      <c r="AT55" s="479"/>
      <c r="AU55" s="479"/>
      <c r="AV55" s="479"/>
    </row>
    <row r="56" spans="1:48" x14ac:dyDescent="0.25">
      <c r="J56" s="479"/>
      <c r="K56" s="489" t="s">
        <v>507</v>
      </c>
      <c r="L56" s="505">
        <f>L44</f>
        <v>2000000</v>
      </c>
      <c r="M56" s="505">
        <f t="shared" ref="M56" si="10">M44</f>
        <v>2000000</v>
      </c>
      <c r="N56" s="509">
        <v>0.05</v>
      </c>
      <c r="O56" s="509">
        <v>0.35</v>
      </c>
      <c r="P56" s="509">
        <v>0.5</v>
      </c>
      <c r="Q56" s="509">
        <v>0.1</v>
      </c>
      <c r="R56" s="498"/>
      <c r="S56" s="504"/>
      <c r="T56" s="498"/>
      <c r="U56" s="498"/>
      <c r="V56" s="498"/>
      <c r="W56" s="498"/>
      <c r="X56" s="498"/>
      <c r="Y56" s="498"/>
      <c r="Z56" s="498"/>
      <c r="AA56" s="498"/>
      <c r="AB56" s="498"/>
      <c r="AC56" s="498"/>
      <c r="AD56" s="498"/>
      <c r="AE56" s="498"/>
      <c r="AF56" s="498"/>
      <c r="AG56" s="498"/>
      <c r="AH56" s="479"/>
      <c r="AI56" s="479"/>
      <c r="AJ56" s="479"/>
      <c r="AK56" s="479"/>
      <c r="AL56" s="479"/>
      <c r="AM56" s="479"/>
      <c r="AN56" s="479"/>
      <c r="AO56" s="479"/>
      <c r="AP56" s="479"/>
      <c r="AQ56" s="479"/>
      <c r="AR56" s="479"/>
      <c r="AS56" s="479"/>
      <c r="AT56" s="479"/>
      <c r="AU56" s="479"/>
      <c r="AV56" s="479"/>
    </row>
    <row r="57" spans="1:48" x14ac:dyDescent="0.25">
      <c r="A57" t="s">
        <v>16</v>
      </c>
      <c r="J57" s="479"/>
      <c r="M57" s="505"/>
      <c r="N57" s="509"/>
      <c r="O57" s="509"/>
      <c r="P57" s="509"/>
      <c r="Q57" s="509"/>
      <c r="R57" s="498"/>
      <c r="S57" s="504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79"/>
      <c r="AI57" s="479"/>
      <c r="AJ57" s="479"/>
      <c r="AK57" s="479"/>
      <c r="AL57" s="479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</row>
    <row r="58" spans="1:48" x14ac:dyDescent="0.25">
      <c r="J58" s="479"/>
      <c r="K58" s="489" t="s">
        <v>481</v>
      </c>
      <c r="L58" s="505">
        <f>-L49</f>
        <v>-800000</v>
      </c>
      <c r="M58" s="505">
        <f>-M49</f>
        <v>-800000</v>
      </c>
      <c r="N58" s="509">
        <v>0</v>
      </c>
      <c r="O58" s="509">
        <v>0.5</v>
      </c>
      <c r="P58" s="509">
        <v>0.4</v>
      </c>
      <c r="Q58" s="509">
        <v>0.1</v>
      </c>
      <c r="R58" s="509">
        <v>0</v>
      </c>
      <c r="S58" s="504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/>
      <c r="AU58" s="479"/>
      <c r="AV58" s="479"/>
    </row>
    <row r="59" spans="1:48" x14ac:dyDescent="0.25">
      <c r="J59" s="479"/>
      <c r="K59" s="510"/>
      <c r="L59" s="511"/>
      <c r="M59" s="511"/>
      <c r="N59" s="512"/>
      <c r="O59" s="513"/>
      <c r="P59" s="513"/>
      <c r="Q59" s="513"/>
      <c r="R59" s="513"/>
      <c r="S59" s="514"/>
      <c r="T59" s="515"/>
      <c r="U59" s="515"/>
      <c r="V59" s="515"/>
      <c r="W59" s="515"/>
      <c r="X59" s="515"/>
      <c r="Y59" s="515"/>
      <c r="Z59" s="515"/>
      <c r="AA59" s="515"/>
      <c r="AB59" s="515"/>
      <c r="AC59" s="515"/>
      <c r="AD59" s="515"/>
      <c r="AE59" s="515"/>
      <c r="AF59" s="515"/>
      <c r="AG59" s="515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</row>
    <row r="60" spans="1:48" x14ac:dyDescent="0.25">
      <c r="J60" s="479"/>
      <c r="K60" s="494" t="s">
        <v>482</v>
      </c>
      <c r="L60" s="510"/>
      <c r="M60" s="510"/>
      <c r="N60" s="512"/>
      <c r="O60" s="513"/>
      <c r="P60" s="513"/>
      <c r="Q60" s="513"/>
      <c r="R60" s="513"/>
      <c r="S60" s="514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5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479"/>
    </row>
    <row r="61" spans="1:48" x14ac:dyDescent="0.25">
      <c r="J61" s="479"/>
      <c r="K61" s="516" t="s">
        <v>483</v>
      </c>
      <c r="L61" s="510"/>
      <c r="M61" s="510"/>
      <c r="N61" s="517">
        <f>-N46</f>
        <v>-100000</v>
      </c>
      <c r="O61" s="517">
        <f>-O46</f>
        <v>-700000</v>
      </c>
      <c r="P61" s="517">
        <f>-P46</f>
        <v>-1000000</v>
      </c>
      <c r="Q61" s="517">
        <f>-Q46</f>
        <v>-200000</v>
      </c>
      <c r="R61" s="513"/>
      <c r="S61" s="514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  <c r="AG61" s="515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</row>
    <row r="62" spans="1:48" x14ac:dyDescent="0.25">
      <c r="J62" s="479"/>
      <c r="K62" s="516" t="s">
        <v>484</v>
      </c>
      <c r="L62" s="510"/>
      <c r="M62" s="510"/>
      <c r="N62" s="517">
        <f>N49</f>
        <v>0</v>
      </c>
      <c r="O62" s="517">
        <f>O49</f>
        <v>400000</v>
      </c>
      <c r="P62" s="517">
        <f>P49</f>
        <v>320000</v>
      </c>
      <c r="Q62" s="517">
        <f>Q49</f>
        <v>80000</v>
      </c>
      <c r="R62" s="513"/>
      <c r="S62" s="514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</row>
    <row r="63" spans="1:48" x14ac:dyDescent="0.25">
      <c r="J63" s="479"/>
      <c r="K63" s="516" t="s">
        <v>485</v>
      </c>
      <c r="L63" s="479"/>
      <c r="M63" s="479"/>
      <c r="N63" s="518">
        <f>N61</f>
        <v>-100000</v>
      </c>
      <c r="O63" s="518">
        <f t="shared" ref="O63:Q64" si="11">N63+O61</f>
        <v>-800000</v>
      </c>
      <c r="P63" s="518">
        <f t="shared" si="11"/>
        <v>-1800000</v>
      </c>
      <c r="Q63" s="518">
        <f t="shared" si="11"/>
        <v>-2000000</v>
      </c>
      <c r="R63" s="513"/>
      <c r="S63" s="514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479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</row>
    <row r="64" spans="1:48" x14ac:dyDescent="0.25">
      <c r="J64" s="479"/>
      <c r="K64" s="516" t="s">
        <v>486</v>
      </c>
      <c r="L64" s="479"/>
      <c r="M64" s="509"/>
      <c r="N64" s="518">
        <f>N62</f>
        <v>0</v>
      </c>
      <c r="O64" s="518">
        <f t="shared" si="11"/>
        <v>400000</v>
      </c>
      <c r="P64" s="518">
        <f t="shared" si="11"/>
        <v>720000</v>
      </c>
      <c r="Q64" s="518">
        <f t="shared" si="11"/>
        <v>800000</v>
      </c>
      <c r="R64" s="513"/>
      <c r="S64" s="514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479"/>
      <c r="AI64" s="479"/>
      <c r="AJ64" s="479"/>
      <c r="AK64" s="479"/>
      <c r="AL64" s="479"/>
      <c r="AM64" s="479"/>
      <c r="AN64" s="479"/>
      <c r="AO64" s="479"/>
      <c r="AP64" s="479"/>
      <c r="AQ64" s="479"/>
      <c r="AR64" s="479"/>
      <c r="AS64" s="479"/>
      <c r="AT64" s="479"/>
      <c r="AU64" s="479"/>
      <c r="AV64" s="479"/>
    </row>
    <row r="65" spans="10:48" ht="16.5" x14ac:dyDescent="0.35">
      <c r="J65" s="479"/>
      <c r="K65" s="519" t="s">
        <v>487</v>
      </c>
      <c r="L65" s="479"/>
      <c r="M65" s="479"/>
      <c r="N65" s="518">
        <f>N63+N64</f>
        <v>-100000</v>
      </c>
      <c r="O65" s="518">
        <f>O63+O64+N66</f>
        <v>-402000</v>
      </c>
      <c r="P65" s="518">
        <f>P63+P64+O66</f>
        <v>-1088040</v>
      </c>
      <c r="Q65" s="518">
        <f>Q63+Q64+P66</f>
        <v>-1221760.8</v>
      </c>
      <c r="R65" s="520">
        <f>Q65+Q66</f>
        <v>-1246196.0160000001</v>
      </c>
      <c r="S65" s="514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</row>
    <row r="66" spans="10:48" x14ac:dyDescent="0.25">
      <c r="J66" s="479"/>
      <c r="K66" s="519" t="s">
        <v>488</v>
      </c>
      <c r="L66" s="479"/>
      <c r="M66" s="479"/>
      <c r="N66" s="518">
        <f>N65*2%</f>
        <v>-2000</v>
      </c>
      <c r="O66" s="518">
        <f>O65*2%</f>
        <v>-8040</v>
      </c>
      <c r="P66" s="518">
        <f>P65*2%</f>
        <v>-21760.799999999999</v>
      </c>
      <c r="Q66" s="518">
        <f>Q65*2%</f>
        <v>-24435.216</v>
      </c>
      <c r="R66" s="513"/>
      <c r="S66" s="514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479"/>
      <c r="AI66" s="479"/>
      <c r="AJ66" s="479"/>
      <c r="AK66" s="479"/>
      <c r="AL66" s="479"/>
      <c r="AM66" s="479"/>
      <c r="AN66" s="479"/>
      <c r="AO66" s="479"/>
      <c r="AP66" s="479"/>
      <c r="AQ66" s="479"/>
      <c r="AR66" s="479"/>
      <c r="AS66" s="479"/>
      <c r="AT66" s="479"/>
      <c r="AU66" s="479"/>
      <c r="AV66" s="479"/>
    </row>
    <row r="67" spans="10:48" x14ac:dyDescent="0.25">
      <c r="J67" s="479"/>
      <c r="K67" s="479"/>
      <c r="L67" s="479"/>
      <c r="M67" s="479"/>
      <c r="N67" s="479"/>
      <c r="O67" s="479"/>
      <c r="P67" s="513"/>
      <c r="Q67" s="513"/>
      <c r="R67" s="513"/>
      <c r="S67" s="514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479"/>
      <c r="AI67" s="479"/>
      <c r="AJ67" s="479"/>
      <c r="AK67" s="479"/>
      <c r="AL67" s="479"/>
      <c r="AM67" s="479"/>
      <c r="AN67" s="479"/>
      <c r="AO67" s="479"/>
      <c r="AP67" s="479"/>
      <c r="AQ67" s="479"/>
      <c r="AR67" s="479"/>
      <c r="AS67" s="479"/>
      <c r="AT67" s="479"/>
      <c r="AU67" s="479"/>
      <c r="AV67" s="479"/>
    </row>
    <row r="68" spans="10:48" x14ac:dyDescent="0.25">
      <c r="J68" s="479"/>
      <c r="K68" s="510" t="s">
        <v>489</v>
      </c>
      <c r="L68" s="510"/>
      <c r="M68" s="510"/>
      <c r="N68" s="521">
        <f>N52</f>
        <v>100000</v>
      </c>
      <c r="O68" s="521">
        <f>N68+O52</f>
        <v>400000</v>
      </c>
      <c r="P68" s="513"/>
      <c r="Q68" s="513"/>
      <c r="R68" s="513"/>
      <c r="S68" s="514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479"/>
      <c r="AI68" s="479"/>
      <c r="AJ68" s="479"/>
      <c r="AK68" s="479"/>
      <c r="AL68" s="479"/>
      <c r="AM68" s="479"/>
      <c r="AN68" s="479"/>
      <c r="AO68" s="479"/>
      <c r="AP68" s="479"/>
      <c r="AQ68" s="479"/>
      <c r="AR68" s="479"/>
      <c r="AS68" s="479"/>
      <c r="AT68" s="479"/>
      <c r="AU68" s="479"/>
      <c r="AV68" s="479"/>
    </row>
    <row r="69" spans="10:48" x14ac:dyDescent="0.25">
      <c r="J69" s="479"/>
      <c r="K69" s="510" t="s">
        <v>490</v>
      </c>
      <c r="L69" s="510"/>
      <c r="M69" s="510"/>
      <c r="N69" s="521">
        <f>N68*2%</f>
        <v>2000</v>
      </c>
      <c r="O69" s="521">
        <f>O68*2%</f>
        <v>8000</v>
      </c>
      <c r="P69" s="513"/>
      <c r="Q69" s="513"/>
      <c r="R69" s="513"/>
      <c r="S69" s="514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479"/>
      <c r="AI69" s="479"/>
      <c r="AJ69" s="479"/>
      <c r="AK69" s="479"/>
      <c r="AL69" s="479"/>
      <c r="AM69" s="479"/>
      <c r="AN69" s="479"/>
      <c r="AO69" s="479"/>
      <c r="AP69" s="479"/>
      <c r="AQ69" s="479"/>
      <c r="AR69" s="479"/>
      <c r="AS69" s="479"/>
      <c r="AT69" s="479"/>
      <c r="AU69" s="479"/>
      <c r="AV69" s="479"/>
    </row>
    <row r="70" spans="10:48" x14ac:dyDescent="0.25">
      <c r="J70" s="479"/>
      <c r="K70" s="510" t="s">
        <v>491</v>
      </c>
      <c r="L70" s="510"/>
      <c r="M70" s="510"/>
      <c r="N70" s="521">
        <f>N69+N68</f>
        <v>102000</v>
      </c>
      <c r="O70" s="521">
        <f>O68+O69</f>
        <v>408000</v>
      </c>
      <c r="P70" s="513"/>
      <c r="Q70" s="513"/>
      <c r="R70" s="513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479"/>
      <c r="AI70" s="479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/>
      <c r="AV70" s="479"/>
    </row>
    <row r="71" spans="10:48" x14ac:dyDescent="0.25">
      <c r="J71" s="479"/>
      <c r="K71" s="523"/>
      <c r="L71" s="515"/>
      <c r="M71" s="512"/>
      <c r="N71" s="513"/>
      <c r="O71" s="513"/>
      <c r="P71" s="513"/>
      <c r="Q71" s="513"/>
      <c r="R71" s="513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479"/>
      <c r="AI71" s="479"/>
      <c r="AJ71" s="479"/>
      <c r="AK71" s="479"/>
      <c r="AL71" s="479"/>
      <c r="AM71" s="479"/>
      <c r="AN71" s="479"/>
      <c r="AO71" s="479"/>
      <c r="AP71" s="479"/>
      <c r="AQ71" s="479"/>
      <c r="AR71" s="479"/>
      <c r="AS71" s="479"/>
      <c r="AT71" s="479"/>
      <c r="AU71" s="479"/>
      <c r="AV71" s="479"/>
    </row>
    <row r="72" spans="10:48" x14ac:dyDescent="0.25">
      <c r="J72" s="479"/>
      <c r="K72" s="523"/>
      <c r="L72" s="515"/>
      <c r="M72" s="512"/>
      <c r="N72" s="513"/>
      <c r="O72" s="513"/>
      <c r="P72" s="513"/>
      <c r="Q72" s="513"/>
      <c r="R72" s="513"/>
      <c r="S72" s="522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479"/>
      <c r="AI72" s="479"/>
      <c r="AJ72" s="479"/>
      <c r="AK72" s="479"/>
      <c r="AL72" s="479"/>
      <c r="AM72" s="479"/>
      <c r="AN72" s="479"/>
      <c r="AO72" s="479"/>
      <c r="AP72" s="479"/>
      <c r="AQ72" s="479"/>
      <c r="AR72" s="479"/>
      <c r="AS72" s="479"/>
      <c r="AT72" s="479"/>
      <c r="AU72" s="479"/>
      <c r="AV72" s="479"/>
    </row>
    <row r="73" spans="10:48" x14ac:dyDescent="0.25">
      <c r="J73" s="562" t="s">
        <v>492</v>
      </c>
      <c r="K73" s="563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2"/>
      <c r="Y73" s="522"/>
      <c r="Z73" s="522"/>
      <c r="AA73" s="522"/>
      <c r="AB73" s="522"/>
      <c r="AC73" s="522"/>
      <c r="AD73" s="522"/>
      <c r="AE73" s="522"/>
      <c r="AF73" s="522"/>
      <c r="AG73" s="522"/>
    </row>
    <row r="74" spans="10:48" x14ac:dyDescent="0.25">
      <c r="J74" s="525"/>
      <c r="K74" s="526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</row>
    <row r="75" spans="10:48" x14ac:dyDescent="0.25">
      <c r="J75" s="560" t="s">
        <v>493</v>
      </c>
      <c r="K75" s="561"/>
      <c r="N75" s="527">
        <f>+N42</f>
        <v>2019</v>
      </c>
      <c r="O75" s="527">
        <f t="shared" ref="O75:AG75" si="12">+O42</f>
        <v>2020</v>
      </c>
      <c r="P75" s="527">
        <f t="shared" si="12"/>
        <v>2021</v>
      </c>
      <c r="Q75" s="527">
        <f t="shared" si="12"/>
        <v>2022</v>
      </c>
      <c r="R75" s="527">
        <f t="shared" si="12"/>
        <v>2023</v>
      </c>
      <c r="S75" s="527">
        <f t="shared" si="12"/>
        <v>2024</v>
      </c>
      <c r="T75" s="527">
        <f t="shared" si="12"/>
        <v>2025</v>
      </c>
      <c r="U75" s="527">
        <f t="shared" si="12"/>
        <v>2026</v>
      </c>
      <c r="V75" s="527">
        <f t="shared" si="12"/>
        <v>2027</v>
      </c>
      <c r="W75" s="527">
        <f t="shared" si="12"/>
        <v>2028</v>
      </c>
      <c r="X75" s="527">
        <f t="shared" si="12"/>
        <v>2029</v>
      </c>
      <c r="Y75" s="527">
        <f t="shared" si="12"/>
        <v>2030</v>
      </c>
      <c r="Z75" s="527">
        <f t="shared" si="12"/>
        <v>2031</v>
      </c>
      <c r="AA75" s="527">
        <f t="shared" si="12"/>
        <v>2032</v>
      </c>
      <c r="AB75" s="527">
        <f t="shared" si="12"/>
        <v>2033</v>
      </c>
      <c r="AC75" s="527">
        <f t="shared" si="12"/>
        <v>2034</v>
      </c>
      <c r="AD75" s="527">
        <f t="shared" si="12"/>
        <v>2035</v>
      </c>
      <c r="AE75" s="527">
        <f t="shared" si="12"/>
        <v>2036</v>
      </c>
      <c r="AF75" s="527">
        <f t="shared" si="12"/>
        <v>2037</v>
      </c>
      <c r="AG75" s="527">
        <f t="shared" si="12"/>
        <v>2038</v>
      </c>
    </row>
    <row r="76" spans="10:48" x14ac:dyDescent="0.25">
      <c r="J76" s="528" t="s">
        <v>494</v>
      </c>
      <c r="K76" s="529">
        <v>3.6200000000000003E-2</v>
      </c>
      <c r="M76" s="530" t="s">
        <v>495</v>
      </c>
      <c r="N76" s="531"/>
      <c r="O76" s="531"/>
      <c r="P76" s="531"/>
      <c r="Q76" s="532">
        <f>P76-P78</f>
        <v>0</v>
      </c>
      <c r="R76" s="532">
        <f t="shared" ref="R76:AG76" si="13">Q76-Q78</f>
        <v>0</v>
      </c>
      <c r="S76" s="532">
        <f t="shared" si="13"/>
        <v>0</v>
      </c>
      <c r="T76" s="532">
        <f t="shared" si="13"/>
        <v>0</v>
      </c>
      <c r="U76" s="532">
        <f t="shared" si="13"/>
        <v>0</v>
      </c>
      <c r="V76" s="532">
        <f t="shared" si="13"/>
        <v>0</v>
      </c>
      <c r="W76" s="532">
        <f t="shared" si="13"/>
        <v>0</v>
      </c>
      <c r="X76" s="532">
        <f t="shared" si="13"/>
        <v>0</v>
      </c>
      <c r="Y76" s="532">
        <f t="shared" si="13"/>
        <v>0</v>
      </c>
      <c r="Z76" s="532">
        <f t="shared" si="13"/>
        <v>0</v>
      </c>
      <c r="AA76" s="532">
        <f t="shared" si="13"/>
        <v>0</v>
      </c>
      <c r="AB76" s="532">
        <f t="shared" si="13"/>
        <v>0</v>
      </c>
      <c r="AC76" s="532">
        <f t="shared" si="13"/>
        <v>0</v>
      </c>
      <c r="AD76" s="532">
        <f t="shared" si="13"/>
        <v>0</v>
      </c>
      <c r="AE76" s="532">
        <f t="shared" si="13"/>
        <v>0</v>
      </c>
      <c r="AF76" s="532">
        <f t="shared" si="13"/>
        <v>0</v>
      </c>
      <c r="AG76" s="532">
        <f t="shared" si="13"/>
        <v>0</v>
      </c>
    </row>
    <row r="77" spans="10:48" x14ac:dyDescent="0.25">
      <c r="J77" s="533" t="s">
        <v>496</v>
      </c>
      <c r="K77" s="529">
        <v>1.78E-2</v>
      </c>
      <c r="M77" s="530" t="s">
        <v>497</v>
      </c>
      <c r="N77" s="534"/>
      <c r="O77" s="534"/>
      <c r="P77" s="535">
        <f>0.1%*P76</f>
        <v>0</v>
      </c>
      <c r="Q77" s="536">
        <f t="shared" ref="Q77:AG77" si="14">0.1%*Q76</f>
        <v>0</v>
      </c>
      <c r="R77" s="536">
        <f t="shared" si="14"/>
        <v>0</v>
      </c>
      <c r="S77" s="536">
        <f t="shared" si="14"/>
        <v>0</v>
      </c>
      <c r="T77" s="536">
        <f t="shared" si="14"/>
        <v>0</v>
      </c>
      <c r="U77" s="536">
        <f t="shared" si="14"/>
        <v>0</v>
      </c>
      <c r="V77" s="536">
        <f t="shared" si="14"/>
        <v>0</v>
      </c>
      <c r="W77" s="536">
        <f t="shared" si="14"/>
        <v>0</v>
      </c>
      <c r="X77" s="536">
        <f t="shared" si="14"/>
        <v>0</v>
      </c>
      <c r="Y77" s="536">
        <f t="shared" si="14"/>
        <v>0</v>
      </c>
      <c r="Z77" s="536">
        <f t="shared" si="14"/>
        <v>0</v>
      </c>
      <c r="AA77" s="536">
        <f t="shared" si="14"/>
        <v>0</v>
      </c>
      <c r="AB77" s="536">
        <f t="shared" si="14"/>
        <v>0</v>
      </c>
      <c r="AC77" s="536">
        <f t="shared" si="14"/>
        <v>0</v>
      </c>
      <c r="AD77" s="536">
        <f t="shared" si="14"/>
        <v>0</v>
      </c>
      <c r="AE77" s="536">
        <f t="shared" si="14"/>
        <v>0</v>
      </c>
      <c r="AF77" s="536">
        <f t="shared" si="14"/>
        <v>0</v>
      </c>
      <c r="AG77" s="536">
        <f t="shared" si="14"/>
        <v>0</v>
      </c>
    </row>
    <row r="78" spans="10:48" x14ac:dyDescent="0.25">
      <c r="J78" s="533" t="s">
        <v>498</v>
      </c>
      <c r="K78" s="537">
        <v>8.3999999999999995E-3</v>
      </c>
      <c r="M78" s="530" t="s">
        <v>499</v>
      </c>
      <c r="N78" s="534"/>
      <c r="O78" s="534"/>
      <c r="P78" s="538">
        <f>P80-P79</f>
        <v>0</v>
      </c>
      <c r="Q78" s="539">
        <f t="shared" ref="Q78:AG78" si="15">Q80-Q79</f>
        <v>0</v>
      </c>
      <c r="R78" s="539">
        <f t="shared" si="15"/>
        <v>0</v>
      </c>
      <c r="S78" s="539">
        <f t="shared" si="15"/>
        <v>0</v>
      </c>
      <c r="T78" s="539">
        <f t="shared" si="15"/>
        <v>0</v>
      </c>
      <c r="U78" s="539">
        <f t="shared" si="15"/>
        <v>0</v>
      </c>
      <c r="V78" s="539">
        <f t="shared" si="15"/>
        <v>0</v>
      </c>
      <c r="W78" s="539">
        <f t="shared" si="15"/>
        <v>0</v>
      </c>
      <c r="X78" s="539">
        <f t="shared" si="15"/>
        <v>0</v>
      </c>
      <c r="Y78" s="539">
        <f t="shared" si="15"/>
        <v>0</v>
      </c>
      <c r="Z78" s="539">
        <f t="shared" si="15"/>
        <v>0</v>
      </c>
      <c r="AA78" s="539">
        <f t="shared" si="15"/>
        <v>0</v>
      </c>
      <c r="AB78" s="539">
        <f t="shared" si="15"/>
        <v>0</v>
      </c>
      <c r="AC78" s="539">
        <f t="shared" si="15"/>
        <v>0</v>
      </c>
      <c r="AD78" s="539">
        <f t="shared" si="15"/>
        <v>0</v>
      </c>
      <c r="AE78" s="539">
        <f t="shared" si="15"/>
        <v>0</v>
      </c>
      <c r="AF78" s="539">
        <f t="shared" si="15"/>
        <v>0</v>
      </c>
      <c r="AG78" s="539">
        <f t="shared" si="15"/>
        <v>0</v>
      </c>
    </row>
    <row r="79" spans="10:48" x14ac:dyDescent="0.25">
      <c r="J79" s="533" t="s">
        <v>386</v>
      </c>
      <c r="K79" s="529">
        <v>0.01</v>
      </c>
      <c r="M79" s="530" t="s">
        <v>500</v>
      </c>
      <c r="N79" s="540">
        <f>N76*K76</f>
        <v>0</v>
      </c>
      <c r="O79" s="540">
        <f>O76*K76</f>
        <v>0</v>
      </c>
      <c r="P79" s="541">
        <f>P76*$B$80</f>
        <v>0</v>
      </c>
      <c r="Q79" s="532">
        <f t="shared" ref="Q79:AG79" si="16">Q76*$B$80</f>
        <v>0</v>
      </c>
      <c r="R79" s="532">
        <f t="shared" si="16"/>
        <v>0</v>
      </c>
      <c r="S79" s="532">
        <f t="shared" si="16"/>
        <v>0</v>
      </c>
      <c r="T79" s="532">
        <f t="shared" si="16"/>
        <v>0</v>
      </c>
      <c r="U79" s="532">
        <f t="shared" si="16"/>
        <v>0</v>
      </c>
      <c r="V79" s="532">
        <f t="shared" si="16"/>
        <v>0</v>
      </c>
      <c r="W79" s="532">
        <f t="shared" si="16"/>
        <v>0</v>
      </c>
      <c r="X79" s="532">
        <f t="shared" si="16"/>
        <v>0</v>
      </c>
      <c r="Y79" s="532">
        <f t="shared" si="16"/>
        <v>0</v>
      </c>
      <c r="Z79" s="532">
        <f t="shared" si="16"/>
        <v>0</v>
      </c>
      <c r="AA79" s="532">
        <f t="shared" si="16"/>
        <v>0</v>
      </c>
      <c r="AB79" s="532">
        <f t="shared" si="16"/>
        <v>0</v>
      </c>
      <c r="AC79" s="532">
        <f t="shared" si="16"/>
        <v>0</v>
      </c>
      <c r="AD79" s="532">
        <f t="shared" si="16"/>
        <v>0</v>
      </c>
      <c r="AE79" s="532">
        <f t="shared" si="16"/>
        <v>0</v>
      </c>
      <c r="AF79" s="532">
        <f t="shared" si="16"/>
        <v>0</v>
      </c>
      <c r="AG79" s="532">
        <f t="shared" si="16"/>
        <v>0</v>
      </c>
    </row>
    <row r="80" spans="10:48" x14ac:dyDescent="0.25">
      <c r="J80" s="533" t="s">
        <v>501</v>
      </c>
      <c r="K80" s="529">
        <v>0.01</v>
      </c>
      <c r="M80" s="530" t="s">
        <v>502</v>
      </c>
      <c r="N80" s="534"/>
      <c r="O80" s="534"/>
      <c r="P80" s="538">
        <f>-PMT($B$80,20,$G$80)</f>
        <v>0</v>
      </c>
      <c r="Q80" s="539">
        <f t="shared" ref="Q80:AG80" si="17">-PMT($B$80,20,$G$80)</f>
        <v>0</v>
      </c>
      <c r="R80" s="539">
        <f t="shared" si="17"/>
        <v>0</v>
      </c>
      <c r="S80" s="539">
        <f t="shared" si="17"/>
        <v>0</v>
      </c>
      <c r="T80" s="539">
        <f t="shared" si="17"/>
        <v>0</v>
      </c>
      <c r="U80" s="539">
        <f t="shared" si="17"/>
        <v>0</v>
      </c>
      <c r="V80" s="539">
        <f t="shared" si="17"/>
        <v>0</v>
      </c>
      <c r="W80" s="539">
        <f t="shared" si="17"/>
        <v>0</v>
      </c>
      <c r="X80" s="539">
        <f t="shared" si="17"/>
        <v>0</v>
      </c>
      <c r="Y80" s="539">
        <f t="shared" si="17"/>
        <v>0</v>
      </c>
      <c r="Z80" s="539">
        <f t="shared" si="17"/>
        <v>0</v>
      </c>
      <c r="AA80" s="539">
        <f t="shared" si="17"/>
        <v>0</v>
      </c>
      <c r="AB80" s="539">
        <f t="shared" si="17"/>
        <v>0</v>
      </c>
      <c r="AC80" s="539">
        <f t="shared" si="17"/>
        <v>0</v>
      </c>
      <c r="AD80" s="539">
        <f t="shared" si="17"/>
        <v>0</v>
      </c>
      <c r="AE80" s="539">
        <f t="shared" si="17"/>
        <v>0</v>
      </c>
      <c r="AF80" s="539">
        <f t="shared" si="17"/>
        <v>0</v>
      </c>
      <c r="AG80" s="539">
        <f t="shared" si="17"/>
        <v>0</v>
      </c>
    </row>
    <row r="81" spans="10:48" x14ac:dyDescent="0.25">
      <c r="J81" s="525"/>
      <c r="M81" s="542"/>
      <c r="N81" s="542"/>
      <c r="O81" s="542"/>
      <c r="P81" s="542"/>
      <c r="Q81" s="542"/>
      <c r="R81" s="542"/>
      <c r="S81" s="524"/>
      <c r="T81" s="524"/>
      <c r="U81" s="524"/>
      <c r="V81" s="524"/>
      <c r="W81" s="524"/>
      <c r="X81" s="522"/>
      <c r="Y81" s="522"/>
      <c r="Z81" s="522"/>
      <c r="AA81" s="522"/>
      <c r="AB81" s="522"/>
      <c r="AC81" s="522"/>
      <c r="AD81" s="522"/>
      <c r="AE81" s="522"/>
      <c r="AF81" s="522"/>
      <c r="AG81" s="522"/>
    </row>
    <row r="82" spans="10:48" x14ac:dyDescent="0.25">
      <c r="J82" s="560" t="s">
        <v>503</v>
      </c>
      <c r="K82" s="561"/>
      <c r="M82" s="530" t="s">
        <v>495</v>
      </c>
      <c r="N82" s="536"/>
      <c r="O82" s="536"/>
      <c r="P82" s="535"/>
      <c r="Q82" s="536"/>
      <c r="R82" s="536"/>
      <c r="S82" s="536"/>
      <c r="T82" s="536"/>
      <c r="U82" s="536"/>
      <c r="V82" s="536"/>
      <c r="W82" s="536"/>
      <c r="X82" s="543"/>
      <c r="Y82" s="543"/>
      <c r="Z82" s="543"/>
      <c r="AA82" s="543"/>
      <c r="AB82" s="543"/>
      <c r="AC82" s="543"/>
      <c r="AD82" s="543"/>
      <c r="AE82" s="543"/>
      <c r="AF82" s="543"/>
      <c r="AG82" s="543"/>
    </row>
    <row r="83" spans="10:48" x14ac:dyDescent="0.25">
      <c r="J83" s="544" t="str">
        <f>+J76</f>
        <v>Taux de financement</v>
      </c>
      <c r="K83" s="529">
        <v>1.9800000000000002E-2</v>
      </c>
      <c r="M83" s="530" t="s">
        <v>497</v>
      </c>
      <c r="N83" s="536"/>
      <c r="O83" s="536"/>
      <c r="P83" s="535"/>
      <c r="Q83" s="536"/>
      <c r="R83" s="536"/>
      <c r="S83" s="536"/>
      <c r="T83" s="536"/>
      <c r="U83" s="536"/>
      <c r="V83" s="536"/>
      <c r="W83" s="536"/>
      <c r="X83" s="543"/>
      <c r="Y83" s="543"/>
      <c r="Z83" s="543"/>
      <c r="AA83" s="543"/>
      <c r="AB83" s="543"/>
      <c r="AC83" s="543"/>
      <c r="AD83" s="543"/>
      <c r="AE83" s="543"/>
      <c r="AF83" s="543"/>
      <c r="AG83" s="543"/>
    </row>
    <row r="84" spans="10:48" x14ac:dyDescent="0.25">
      <c r="J84" s="544" t="s">
        <v>504</v>
      </c>
      <c r="K84" s="529">
        <v>-2.9999999999999997E-4</v>
      </c>
      <c r="M84" s="530" t="s">
        <v>499</v>
      </c>
      <c r="N84" s="536"/>
      <c r="O84" s="536"/>
      <c r="P84" s="535"/>
      <c r="Q84" s="536"/>
      <c r="R84" s="536"/>
      <c r="S84" s="536"/>
      <c r="T84" s="536"/>
      <c r="U84" s="536"/>
      <c r="V84" s="536"/>
      <c r="W84" s="536"/>
      <c r="X84" s="543"/>
      <c r="Y84" s="543"/>
      <c r="Z84" s="543"/>
      <c r="AA84" s="543"/>
      <c r="AB84" s="543"/>
      <c r="AC84" s="543"/>
      <c r="AD84" s="543"/>
      <c r="AE84" s="543"/>
      <c r="AF84" s="543"/>
      <c r="AG84" s="543"/>
    </row>
    <row r="85" spans="10:48" x14ac:dyDescent="0.25">
      <c r="J85" s="544" t="s">
        <v>275</v>
      </c>
      <c r="K85" s="529">
        <v>0.01</v>
      </c>
      <c r="M85" s="530" t="s">
        <v>500</v>
      </c>
      <c r="N85" s="536"/>
      <c r="O85" s="536"/>
      <c r="P85" s="535">
        <f>P82*K83</f>
        <v>0</v>
      </c>
      <c r="Q85" s="536">
        <f>Q82*$B$87</f>
        <v>0</v>
      </c>
      <c r="R85" s="536">
        <f>R82*$B$87</f>
        <v>0</v>
      </c>
      <c r="S85" s="536">
        <f>S82*$B$87</f>
        <v>0</v>
      </c>
      <c r="T85" s="536"/>
      <c r="U85" s="536"/>
      <c r="V85" s="536"/>
      <c r="W85" s="536"/>
      <c r="X85" s="543"/>
      <c r="Y85" s="543"/>
      <c r="Z85" s="543"/>
      <c r="AA85" s="543"/>
      <c r="AB85" s="543"/>
      <c r="AC85" s="543"/>
      <c r="AD85" s="543"/>
      <c r="AE85" s="543"/>
      <c r="AF85" s="543"/>
      <c r="AG85" s="543"/>
    </row>
    <row r="86" spans="10:48" x14ac:dyDescent="0.25">
      <c r="J86" s="533" t="s">
        <v>501</v>
      </c>
      <c r="K86" s="529">
        <v>0.01</v>
      </c>
      <c r="M86" s="530" t="s">
        <v>502</v>
      </c>
      <c r="N86" s="536"/>
      <c r="O86" s="536"/>
      <c r="P86" s="535"/>
      <c r="Q86" s="536"/>
      <c r="R86" s="536"/>
      <c r="S86" s="536"/>
      <c r="T86" s="536"/>
      <c r="U86" s="536"/>
      <c r="V86" s="536"/>
      <c r="W86" s="536"/>
      <c r="X86" s="543"/>
      <c r="Y86" s="543"/>
      <c r="Z86" s="543"/>
      <c r="AA86" s="543"/>
      <c r="AB86" s="543"/>
      <c r="AC86" s="543"/>
      <c r="AD86" s="543"/>
      <c r="AE86" s="543"/>
      <c r="AF86" s="543"/>
      <c r="AG86" s="543"/>
    </row>
    <row r="87" spans="10:48" x14ac:dyDescent="0.25">
      <c r="J87" s="525"/>
      <c r="K87" s="542"/>
      <c r="L87" s="542"/>
      <c r="N87" s="542"/>
      <c r="O87" s="542"/>
      <c r="P87" s="542"/>
      <c r="Q87" s="542"/>
      <c r="R87" s="542"/>
      <c r="S87" s="524"/>
      <c r="T87" s="524"/>
      <c r="U87" s="524"/>
      <c r="V87" s="524"/>
      <c r="W87" s="524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</row>
    <row r="88" spans="10:48" x14ac:dyDescent="0.25">
      <c r="J88" s="560" t="s">
        <v>505</v>
      </c>
      <c r="K88" s="561"/>
      <c r="M88" s="530" t="s">
        <v>495</v>
      </c>
      <c r="N88" s="536"/>
      <c r="O88" s="536"/>
      <c r="P88" s="535">
        <f>-R65</f>
        <v>1246196.0160000001</v>
      </c>
      <c r="Q88" s="535">
        <f>P88-P90</f>
        <v>1192303.3522442519</v>
      </c>
      <c r="R88" s="535">
        <f t="shared" ref="R88:AG88" si="18">Q88-Q90</f>
        <v>1137602.2985321674</v>
      </c>
      <c r="S88" s="535">
        <f t="shared" si="18"/>
        <v>1082080.7290144018</v>
      </c>
      <c r="T88" s="535">
        <f t="shared" si="18"/>
        <v>1025726.3359538696</v>
      </c>
      <c r="U88" s="535">
        <f t="shared" si="18"/>
        <v>968526.62699742953</v>
      </c>
      <c r="V88" s="535">
        <f t="shared" si="18"/>
        <v>910468.92240664281</v>
      </c>
      <c r="W88" s="535">
        <f t="shared" si="18"/>
        <v>851540.35224699427</v>
      </c>
      <c r="X88" s="535">
        <f t="shared" si="18"/>
        <v>791727.85353495099</v>
      </c>
      <c r="Y88" s="535">
        <f t="shared" si="18"/>
        <v>731018.16734222707</v>
      </c>
      <c r="Z88" s="535">
        <f t="shared" si="18"/>
        <v>669397.83585661231</v>
      </c>
      <c r="AA88" s="535">
        <f t="shared" si="18"/>
        <v>606853.1993987133</v>
      </c>
      <c r="AB88" s="535">
        <f t="shared" si="18"/>
        <v>543370.39339394588</v>
      </c>
      <c r="AC88" s="535">
        <f t="shared" si="18"/>
        <v>478935.34529910691</v>
      </c>
      <c r="AD88" s="535">
        <f t="shared" si="18"/>
        <v>413533.7714828453</v>
      </c>
      <c r="AE88" s="535">
        <f t="shared" si="18"/>
        <v>347151.1740593398</v>
      </c>
      <c r="AF88" s="535">
        <f t="shared" si="18"/>
        <v>279772.83767448168</v>
      </c>
      <c r="AG88" s="535">
        <f t="shared" si="18"/>
        <v>211383.82624385072</v>
      </c>
      <c r="AH88" s="535">
        <f>AG88-AG90</f>
        <v>141968.97964176029</v>
      </c>
      <c r="AI88" s="535">
        <f>AH88-AH90</f>
        <v>71512.910340638511</v>
      </c>
      <c r="AJ88" s="535"/>
    </row>
    <row r="89" spans="10:48" x14ac:dyDescent="0.25">
      <c r="J89" s="544" t="str">
        <f>J83</f>
        <v>Taux de financement</v>
      </c>
      <c r="K89" s="529">
        <v>1.4999999999999999E-2</v>
      </c>
      <c r="M89" s="530" t="s">
        <v>497</v>
      </c>
      <c r="N89" s="536"/>
      <c r="O89" s="536"/>
      <c r="P89" s="535">
        <f>0.1%*P88</f>
        <v>1246.1960160000001</v>
      </c>
      <c r="Q89" s="535">
        <f>0.1%*Q88</f>
        <v>1192.303352244252</v>
      </c>
      <c r="R89" s="535">
        <f t="shared" ref="R89:AG89" si="19">0.1%*R88</f>
        <v>1137.6022985321674</v>
      </c>
      <c r="S89" s="535">
        <f t="shared" si="19"/>
        <v>1082.0807290144019</v>
      </c>
      <c r="T89" s="535">
        <f t="shared" si="19"/>
        <v>1025.7263359538697</v>
      </c>
      <c r="U89" s="535">
        <f t="shared" si="19"/>
        <v>968.5266269974295</v>
      </c>
      <c r="V89" s="535">
        <f t="shared" si="19"/>
        <v>910.46892240664283</v>
      </c>
      <c r="W89" s="535">
        <f t="shared" si="19"/>
        <v>851.5403522469943</v>
      </c>
      <c r="X89" s="535">
        <f t="shared" si="19"/>
        <v>791.72785353495101</v>
      </c>
      <c r="Y89" s="535">
        <f t="shared" si="19"/>
        <v>731.01816734222712</v>
      </c>
      <c r="Z89" s="535">
        <f t="shared" si="19"/>
        <v>669.39783585661235</v>
      </c>
      <c r="AA89" s="535">
        <f t="shared" si="19"/>
        <v>606.85319939871329</v>
      </c>
      <c r="AB89" s="535">
        <f t="shared" si="19"/>
        <v>543.37039339394585</v>
      </c>
      <c r="AC89" s="535">
        <f t="shared" si="19"/>
        <v>478.93534529910693</v>
      </c>
      <c r="AD89" s="535">
        <f t="shared" si="19"/>
        <v>413.53377148284534</v>
      </c>
      <c r="AE89" s="535">
        <f t="shared" si="19"/>
        <v>347.15117405933978</v>
      </c>
      <c r="AF89" s="535">
        <f t="shared" si="19"/>
        <v>279.77283767448171</v>
      </c>
      <c r="AG89" s="535">
        <f t="shared" si="19"/>
        <v>211.38382624385073</v>
      </c>
      <c r="AH89" s="535">
        <f>0.1%*AH88</f>
        <v>141.96897964176028</v>
      </c>
      <c r="AI89" s="535">
        <f>0.1%*AI88</f>
        <v>71.512910340638513</v>
      </c>
      <c r="AJ89" s="535"/>
    </row>
    <row r="90" spans="10:48" x14ac:dyDescent="0.25">
      <c r="J90" s="544" t="s">
        <v>506</v>
      </c>
      <c r="K90" s="529">
        <v>7.4999999999999997E-3</v>
      </c>
      <c r="M90" s="530" t="s">
        <v>499</v>
      </c>
      <c r="N90" s="536"/>
      <c r="O90" s="536"/>
      <c r="P90" s="538">
        <f>P92-P91</f>
        <v>53892.663755748188</v>
      </c>
      <c r="Q90" s="538">
        <f>Q92-Q91</f>
        <v>54701.053712084409</v>
      </c>
      <c r="R90" s="538">
        <f t="shared" ref="R90:AG90" si="20">R92-R91</f>
        <v>55521.569517765674</v>
      </c>
      <c r="S90" s="538">
        <f t="shared" si="20"/>
        <v>56354.393060532158</v>
      </c>
      <c r="T90" s="538">
        <f t="shared" si="20"/>
        <v>57199.708956440139</v>
      </c>
      <c r="U90" s="538">
        <f t="shared" si="20"/>
        <v>58057.704590786743</v>
      </c>
      <c r="V90" s="538">
        <f t="shared" si="20"/>
        <v>58928.570159648545</v>
      </c>
      <c r="W90" s="538">
        <f t="shared" si="20"/>
        <v>59812.498712043271</v>
      </c>
      <c r="X90" s="538">
        <f t="shared" si="20"/>
        <v>60709.686192723922</v>
      </c>
      <c r="Y90" s="538">
        <f t="shared" si="20"/>
        <v>61620.331485614777</v>
      </c>
      <c r="Z90" s="538">
        <f t="shared" si="20"/>
        <v>62544.636457899003</v>
      </c>
      <c r="AA90" s="538">
        <f t="shared" si="20"/>
        <v>63482.806004767481</v>
      </c>
      <c r="AB90" s="538">
        <f t="shared" si="20"/>
        <v>64435.048094838996</v>
      </c>
      <c r="AC90" s="538">
        <f t="shared" si="20"/>
        <v>65401.573816261582</v>
      </c>
      <c r="AD90" s="538">
        <f t="shared" si="20"/>
        <v>66382.597423505504</v>
      </c>
      <c r="AE90" s="538">
        <f t="shared" si="20"/>
        <v>67378.336384858092</v>
      </c>
      <c r="AF90" s="538">
        <f t="shared" si="20"/>
        <v>68389.011430630955</v>
      </c>
      <c r="AG90" s="538">
        <f t="shared" si="20"/>
        <v>69414.846602090431</v>
      </c>
      <c r="AH90" s="538">
        <f>AH92-AH91</f>
        <v>70456.069301121781</v>
      </c>
      <c r="AI90" s="538">
        <f>AI92-AI91</f>
        <v>71512.910340638613</v>
      </c>
      <c r="AJ90" s="538"/>
    </row>
    <row r="91" spans="10:48" x14ac:dyDescent="0.25">
      <c r="J91" s="544" t="s">
        <v>275</v>
      </c>
      <c r="K91" s="529">
        <v>7.4999999999999997E-3</v>
      </c>
      <c r="M91" s="530" t="s">
        <v>500</v>
      </c>
      <c r="N91" s="536"/>
      <c r="O91" s="536"/>
      <c r="P91" s="541">
        <f>P88*$K$89</f>
        <v>18692.94024</v>
      </c>
      <c r="Q91" s="541">
        <f t="shared" ref="Q91:AI91" si="21">Q88*$K$89</f>
        <v>17884.550283663779</v>
      </c>
      <c r="R91" s="541">
        <f t="shared" si="21"/>
        <v>17064.03447798251</v>
      </c>
      <c r="S91" s="541">
        <f t="shared" si="21"/>
        <v>16231.210935216026</v>
      </c>
      <c r="T91" s="541">
        <f t="shared" si="21"/>
        <v>15385.895039308043</v>
      </c>
      <c r="U91" s="541">
        <f t="shared" si="21"/>
        <v>14527.899404961443</v>
      </c>
      <c r="V91" s="541">
        <f t="shared" si="21"/>
        <v>13657.033836099641</v>
      </c>
      <c r="W91" s="541">
        <f t="shared" si="21"/>
        <v>12773.105283704914</v>
      </c>
      <c r="X91" s="541">
        <f t="shared" si="21"/>
        <v>11875.917803024264</v>
      </c>
      <c r="Y91" s="541">
        <f t="shared" si="21"/>
        <v>10965.272510133405</v>
      </c>
      <c r="Z91" s="541">
        <f t="shared" si="21"/>
        <v>10040.967537849185</v>
      </c>
      <c r="AA91" s="541">
        <f t="shared" si="21"/>
        <v>9102.7979909807</v>
      </c>
      <c r="AB91" s="541">
        <f t="shared" si="21"/>
        <v>8150.5559009091876</v>
      </c>
      <c r="AC91" s="541">
        <f t="shared" si="21"/>
        <v>7184.0301794866036</v>
      </c>
      <c r="AD91" s="541">
        <f t="shared" si="21"/>
        <v>6203.0065722426789</v>
      </c>
      <c r="AE91" s="541">
        <f t="shared" si="21"/>
        <v>5207.2676108900969</v>
      </c>
      <c r="AF91" s="541">
        <f t="shared" si="21"/>
        <v>4196.5925651172247</v>
      </c>
      <c r="AG91" s="541">
        <f t="shared" si="21"/>
        <v>3170.7573936577605</v>
      </c>
      <c r="AH91" s="541">
        <f t="shared" si="21"/>
        <v>2129.5346946264044</v>
      </c>
      <c r="AI91" s="541">
        <f t="shared" si="21"/>
        <v>1072.6936551095775</v>
      </c>
      <c r="AJ91" s="541"/>
    </row>
    <row r="92" spans="10:48" x14ac:dyDescent="0.25">
      <c r="J92" s="544" t="s">
        <v>508</v>
      </c>
      <c r="K92" s="550">
        <v>20</v>
      </c>
      <c r="L92" s="542"/>
      <c r="M92" s="530" t="s">
        <v>502</v>
      </c>
      <c r="N92" s="536"/>
      <c r="O92" s="536"/>
      <c r="P92" s="538">
        <f>-PMT($K$89,$K$92,$P$88)</f>
        <v>72585.603995748184</v>
      </c>
      <c r="Q92" s="538">
        <f t="shared" ref="Q92:AI92" si="22">-PMT($K$89,$K$92,$P$88)</f>
        <v>72585.603995748184</v>
      </c>
      <c r="R92" s="538">
        <f t="shared" si="22"/>
        <v>72585.603995748184</v>
      </c>
      <c r="S92" s="538">
        <f t="shared" si="22"/>
        <v>72585.603995748184</v>
      </c>
      <c r="T92" s="538">
        <f t="shared" si="22"/>
        <v>72585.603995748184</v>
      </c>
      <c r="U92" s="538">
        <f t="shared" si="22"/>
        <v>72585.603995748184</v>
      </c>
      <c r="V92" s="538">
        <f t="shared" si="22"/>
        <v>72585.603995748184</v>
      </c>
      <c r="W92" s="538">
        <f t="shared" si="22"/>
        <v>72585.603995748184</v>
      </c>
      <c r="X92" s="538">
        <f t="shared" si="22"/>
        <v>72585.603995748184</v>
      </c>
      <c r="Y92" s="538">
        <f t="shared" si="22"/>
        <v>72585.603995748184</v>
      </c>
      <c r="Z92" s="538">
        <f t="shared" si="22"/>
        <v>72585.603995748184</v>
      </c>
      <c r="AA92" s="538">
        <f t="shared" si="22"/>
        <v>72585.603995748184</v>
      </c>
      <c r="AB92" s="538">
        <f t="shared" si="22"/>
        <v>72585.603995748184</v>
      </c>
      <c r="AC92" s="538">
        <f t="shared" si="22"/>
        <v>72585.603995748184</v>
      </c>
      <c r="AD92" s="538">
        <f t="shared" si="22"/>
        <v>72585.603995748184</v>
      </c>
      <c r="AE92" s="538">
        <f t="shared" si="22"/>
        <v>72585.603995748184</v>
      </c>
      <c r="AF92" s="538">
        <f t="shared" si="22"/>
        <v>72585.603995748184</v>
      </c>
      <c r="AG92" s="538">
        <f t="shared" si="22"/>
        <v>72585.603995748184</v>
      </c>
      <c r="AH92" s="538">
        <f>-PMT($K$89,$K$92,$P$88)</f>
        <v>72585.603995748184</v>
      </c>
      <c r="AI92" s="538">
        <f t="shared" si="22"/>
        <v>72585.603995748184</v>
      </c>
      <c r="AJ92" s="538"/>
    </row>
    <row r="93" spans="10:48" x14ac:dyDescent="0.25">
      <c r="M93" s="542"/>
      <c r="N93" s="542"/>
      <c r="O93" s="542"/>
      <c r="P93" s="542"/>
      <c r="Q93" s="542"/>
      <c r="R93" s="542"/>
      <c r="S93" s="524"/>
      <c r="T93" s="524"/>
      <c r="U93" s="524"/>
      <c r="V93" s="524"/>
      <c r="W93" s="524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2"/>
      <c r="AJ93" s="522"/>
    </row>
    <row r="94" spans="10:48" x14ac:dyDescent="0.25">
      <c r="J94" s="525"/>
      <c r="K94" s="525"/>
      <c r="M94" s="545" t="s">
        <v>248</v>
      </c>
      <c r="N94" s="542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46"/>
      <c r="AF94" s="546"/>
      <c r="AG94" s="546"/>
      <c r="AH94" s="546"/>
      <c r="AI94" s="546"/>
      <c r="AJ94" s="546"/>
      <c r="AK94" s="525"/>
      <c r="AL94" s="525"/>
      <c r="AM94" s="525"/>
      <c r="AN94" s="525"/>
      <c r="AO94" s="525"/>
      <c r="AP94" s="525"/>
      <c r="AQ94" s="525"/>
      <c r="AR94" s="525"/>
      <c r="AS94" s="525"/>
      <c r="AT94" s="525"/>
      <c r="AU94" s="525"/>
      <c r="AV94" s="525"/>
    </row>
    <row r="95" spans="10:48" x14ac:dyDescent="0.25">
      <c r="K95" s="446"/>
      <c r="M95" s="530" t="s">
        <v>495</v>
      </c>
      <c r="N95" s="536">
        <f>+N76+N82+N88</f>
        <v>0</v>
      </c>
      <c r="O95" s="536">
        <f t="shared" ref="O95:AI99" si="23">+O76+O82+O88</f>
        <v>0</v>
      </c>
      <c r="P95" s="535">
        <f t="shared" si="23"/>
        <v>1246196.0160000001</v>
      </c>
      <c r="Q95" s="536">
        <f t="shared" si="23"/>
        <v>1192303.3522442519</v>
      </c>
      <c r="R95" s="536">
        <f t="shared" si="23"/>
        <v>1137602.2985321674</v>
      </c>
      <c r="S95" s="536">
        <f t="shared" si="23"/>
        <v>1082080.7290144018</v>
      </c>
      <c r="T95" s="536">
        <f t="shared" si="23"/>
        <v>1025726.3359538696</v>
      </c>
      <c r="U95" s="536">
        <f t="shared" si="23"/>
        <v>968526.62699742953</v>
      </c>
      <c r="V95" s="536">
        <f t="shared" si="23"/>
        <v>910468.92240664281</v>
      </c>
      <c r="W95" s="536">
        <f t="shared" si="23"/>
        <v>851540.35224699427</v>
      </c>
      <c r="X95" s="543">
        <f t="shared" si="23"/>
        <v>791727.85353495099</v>
      </c>
      <c r="Y95" s="543">
        <f t="shared" si="23"/>
        <v>731018.16734222707</v>
      </c>
      <c r="Z95" s="543">
        <f t="shared" si="23"/>
        <v>669397.83585661231</v>
      </c>
      <c r="AA95" s="543">
        <f t="shared" si="23"/>
        <v>606853.1993987133</v>
      </c>
      <c r="AB95" s="543">
        <f t="shared" si="23"/>
        <v>543370.39339394588</v>
      </c>
      <c r="AC95" s="543">
        <f t="shared" si="23"/>
        <v>478935.34529910691</v>
      </c>
      <c r="AD95" s="543">
        <f t="shared" si="23"/>
        <v>413533.7714828453</v>
      </c>
      <c r="AE95" s="543">
        <f t="shared" si="23"/>
        <v>347151.1740593398</v>
      </c>
      <c r="AF95" s="543">
        <f t="shared" si="23"/>
        <v>279772.83767448168</v>
      </c>
      <c r="AG95" s="543">
        <f t="shared" si="23"/>
        <v>211383.82624385072</v>
      </c>
      <c r="AH95" s="543">
        <f t="shared" si="23"/>
        <v>141968.97964176029</v>
      </c>
      <c r="AI95" s="543">
        <f t="shared" si="23"/>
        <v>71512.910340638511</v>
      </c>
      <c r="AJ95" s="543"/>
      <c r="AS95" s="547"/>
    </row>
    <row r="96" spans="10:48" x14ac:dyDescent="0.25">
      <c r="K96" s="446"/>
      <c r="M96" s="530" t="s">
        <v>497</v>
      </c>
      <c r="N96" s="536">
        <f>+N77+N83+N89</f>
        <v>0</v>
      </c>
      <c r="O96" s="536">
        <f t="shared" si="23"/>
        <v>0</v>
      </c>
      <c r="P96" s="535">
        <f t="shared" si="23"/>
        <v>1246.1960160000001</v>
      </c>
      <c r="Q96" s="536">
        <f t="shared" si="23"/>
        <v>1192.303352244252</v>
      </c>
      <c r="R96" s="536">
        <f t="shared" si="23"/>
        <v>1137.6022985321674</v>
      </c>
      <c r="S96" s="536">
        <f t="shared" si="23"/>
        <v>1082.0807290144019</v>
      </c>
      <c r="T96" s="536">
        <f t="shared" si="23"/>
        <v>1025.7263359538697</v>
      </c>
      <c r="U96" s="536">
        <f t="shared" si="23"/>
        <v>968.5266269974295</v>
      </c>
      <c r="V96" s="536">
        <f t="shared" si="23"/>
        <v>910.46892240664283</v>
      </c>
      <c r="W96" s="536">
        <f t="shared" si="23"/>
        <v>851.5403522469943</v>
      </c>
      <c r="X96" s="543">
        <f t="shared" si="23"/>
        <v>791.72785353495101</v>
      </c>
      <c r="Y96" s="543">
        <f t="shared" si="23"/>
        <v>731.01816734222712</v>
      </c>
      <c r="Z96" s="543">
        <f t="shared" si="23"/>
        <v>669.39783585661235</v>
      </c>
      <c r="AA96" s="543">
        <f t="shared" si="23"/>
        <v>606.85319939871329</v>
      </c>
      <c r="AB96" s="543">
        <f t="shared" si="23"/>
        <v>543.37039339394585</v>
      </c>
      <c r="AC96" s="543">
        <f t="shared" si="23"/>
        <v>478.93534529910693</v>
      </c>
      <c r="AD96" s="543">
        <f t="shared" si="23"/>
        <v>413.53377148284534</v>
      </c>
      <c r="AE96" s="543">
        <f t="shared" si="23"/>
        <v>347.15117405933978</v>
      </c>
      <c r="AF96" s="543">
        <f t="shared" si="23"/>
        <v>279.77283767448171</v>
      </c>
      <c r="AG96" s="543">
        <f t="shared" si="23"/>
        <v>211.38382624385073</v>
      </c>
      <c r="AH96" s="543">
        <f t="shared" si="23"/>
        <v>141.96897964176028</v>
      </c>
      <c r="AI96" s="543">
        <f t="shared" si="23"/>
        <v>71.512910340638513</v>
      </c>
      <c r="AJ96" s="543"/>
    </row>
    <row r="97" spans="11:36" x14ac:dyDescent="0.25">
      <c r="K97" s="446"/>
      <c r="M97" s="530" t="s">
        <v>499</v>
      </c>
      <c r="N97" s="536">
        <f>+N78+N84+N90</f>
        <v>0</v>
      </c>
      <c r="O97" s="536">
        <f t="shared" si="23"/>
        <v>0</v>
      </c>
      <c r="P97" s="535">
        <f t="shared" si="23"/>
        <v>53892.663755748188</v>
      </c>
      <c r="Q97" s="536">
        <f t="shared" si="23"/>
        <v>54701.053712084409</v>
      </c>
      <c r="R97" s="536">
        <f t="shared" si="23"/>
        <v>55521.569517765674</v>
      </c>
      <c r="S97" s="536">
        <f t="shared" si="23"/>
        <v>56354.393060532158</v>
      </c>
      <c r="T97" s="536">
        <f t="shared" si="23"/>
        <v>57199.708956440139</v>
      </c>
      <c r="U97" s="536">
        <f t="shared" si="23"/>
        <v>58057.704590786743</v>
      </c>
      <c r="V97" s="536">
        <f t="shared" si="23"/>
        <v>58928.570159648545</v>
      </c>
      <c r="W97" s="536">
        <f t="shared" si="23"/>
        <v>59812.498712043271</v>
      </c>
      <c r="X97" s="543">
        <f t="shared" si="23"/>
        <v>60709.686192723922</v>
      </c>
      <c r="Y97" s="543">
        <f t="shared" si="23"/>
        <v>61620.331485614777</v>
      </c>
      <c r="Z97" s="543">
        <f t="shared" si="23"/>
        <v>62544.636457899003</v>
      </c>
      <c r="AA97" s="543">
        <f t="shared" si="23"/>
        <v>63482.806004767481</v>
      </c>
      <c r="AB97" s="543">
        <f t="shared" si="23"/>
        <v>64435.048094838996</v>
      </c>
      <c r="AC97" s="543">
        <f t="shared" si="23"/>
        <v>65401.573816261582</v>
      </c>
      <c r="AD97" s="543">
        <f t="shared" si="23"/>
        <v>66382.597423505504</v>
      </c>
      <c r="AE97" s="543">
        <f t="shared" si="23"/>
        <v>67378.336384858092</v>
      </c>
      <c r="AF97" s="543">
        <f t="shared" si="23"/>
        <v>68389.011430630955</v>
      </c>
      <c r="AG97" s="543">
        <f t="shared" si="23"/>
        <v>69414.846602090431</v>
      </c>
      <c r="AH97" s="543">
        <f t="shared" si="23"/>
        <v>70456.069301121781</v>
      </c>
      <c r="AI97" s="543">
        <f t="shared" si="23"/>
        <v>71512.910340638613</v>
      </c>
      <c r="AJ97" s="543"/>
    </row>
    <row r="98" spans="11:36" x14ac:dyDescent="0.25">
      <c r="K98" s="446"/>
      <c r="M98" s="530" t="s">
        <v>500</v>
      </c>
      <c r="N98" s="536">
        <f>+N79+N85+N91</f>
        <v>0</v>
      </c>
      <c r="O98" s="536">
        <f t="shared" si="23"/>
        <v>0</v>
      </c>
      <c r="P98" s="535">
        <f t="shared" si="23"/>
        <v>18692.94024</v>
      </c>
      <c r="Q98" s="536">
        <f t="shared" si="23"/>
        <v>17884.550283663779</v>
      </c>
      <c r="R98" s="536">
        <f t="shared" si="23"/>
        <v>17064.03447798251</v>
      </c>
      <c r="S98" s="536">
        <f t="shared" si="23"/>
        <v>16231.210935216026</v>
      </c>
      <c r="T98" s="536">
        <f t="shared" si="23"/>
        <v>15385.895039308043</v>
      </c>
      <c r="U98" s="536">
        <f t="shared" si="23"/>
        <v>14527.899404961443</v>
      </c>
      <c r="V98" s="536">
        <f t="shared" si="23"/>
        <v>13657.033836099641</v>
      </c>
      <c r="W98" s="536">
        <f t="shared" si="23"/>
        <v>12773.105283704914</v>
      </c>
      <c r="X98" s="543">
        <f t="shared" si="23"/>
        <v>11875.917803024264</v>
      </c>
      <c r="Y98" s="543">
        <f t="shared" si="23"/>
        <v>10965.272510133405</v>
      </c>
      <c r="Z98" s="543">
        <f t="shared" si="23"/>
        <v>10040.967537849185</v>
      </c>
      <c r="AA98" s="543">
        <f t="shared" si="23"/>
        <v>9102.7979909807</v>
      </c>
      <c r="AB98" s="543">
        <f t="shared" si="23"/>
        <v>8150.5559009091876</v>
      </c>
      <c r="AC98" s="543">
        <f t="shared" si="23"/>
        <v>7184.0301794866036</v>
      </c>
      <c r="AD98" s="543">
        <f t="shared" si="23"/>
        <v>6203.0065722426789</v>
      </c>
      <c r="AE98" s="543">
        <f t="shared" si="23"/>
        <v>5207.2676108900969</v>
      </c>
      <c r="AF98" s="543">
        <f t="shared" si="23"/>
        <v>4196.5925651172247</v>
      </c>
      <c r="AG98" s="543">
        <f t="shared" si="23"/>
        <v>3170.7573936577605</v>
      </c>
      <c r="AH98" s="543">
        <f t="shared" si="23"/>
        <v>2129.5346946264044</v>
      </c>
      <c r="AI98" s="543">
        <f t="shared" si="23"/>
        <v>1072.6936551095775</v>
      </c>
      <c r="AJ98" s="543"/>
    </row>
    <row r="99" spans="11:36" x14ac:dyDescent="0.25">
      <c r="K99" s="446"/>
      <c r="M99" s="530" t="s">
        <v>502</v>
      </c>
      <c r="N99" s="536">
        <f>+N80+N86+N92</f>
        <v>0</v>
      </c>
      <c r="O99" s="536">
        <f t="shared" si="23"/>
        <v>0</v>
      </c>
      <c r="P99" s="535">
        <f t="shared" si="23"/>
        <v>72585.603995748184</v>
      </c>
      <c r="Q99" s="536">
        <f t="shared" si="23"/>
        <v>72585.603995748184</v>
      </c>
      <c r="R99" s="536">
        <f t="shared" si="23"/>
        <v>72585.603995748184</v>
      </c>
      <c r="S99" s="536">
        <f t="shared" si="23"/>
        <v>72585.603995748184</v>
      </c>
      <c r="T99" s="536">
        <f t="shared" si="23"/>
        <v>72585.603995748184</v>
      </c>
      <c r="U99" s="536">
        <f t="shared" si="23"/>
        <v>72585.603995748184</v>
      </c>
      <c r="V99" s="536">
        <f t="shared" si="23"/>
        <v>72585.603995748184</v>
      </c>
      <c r="W99" s="536">
        <f t="shared" si="23"/>
        <v>72585.603995748184</v>
      </c>
      <c r="X99" s="543">
        <f t="shared" si="23"/>
        <v>72585.603995748184</v>
      </c>
      <c r="Y99" s="543">
        <f t="shared" si="23"/>
        <v>72585.603995748184</v>
      </c>
      <c r="Z99" s="543">
        <f t="shared" si="23"/>
        <v>72585.603995748184</v>
      </c>
      <c r="AA99" s="543">
        <f t="shared" si="23"/>
        <v>72585.603995748184</v>
      </c>
      <c r="AB99" s="543">
        <f t="shared" si="23"/>
        <v>72585.603995748184</v>
      </c>
      <c r="AC99" s="543">
        <f t="shared" si="23"/>
        <v>72585.603995748184</v>
      </c>
      <c r="AD99" s="543">
        <f t="shared" si="23"/>
        <v>72585.603995748184</v>
      </c>
      <c r="AE99" s="543">
        <f t="shared" si="23"/>
        <v>72585.603995748184</v>
      </c>
      <c r="AF99" s="543">
        <f t="shared" si="23"/>
        <v>72585.603995748184</v>
      </c>
      <c r="AG99" s="543">
        <f t="shared" si="23"/>
        <v>72585.603995748184</v>
      </c>
      <c r="AH99" s="543">
        <f t="shared" si="23"/>
        <v>72585.603995748184</v>
      </c>
      <c r="AI99" s="543">
        <f t="shared" si="23"/>
        <v>72585.603995748184</v>
      </c>
      <c r="AJ99" s="543"/>
    </row>
    <row r="100" spans="11:36" x14ac:dyDescent="0.25">
      <c r="K100" s="446"/>
      <c r="N100" s="547"/>
      <c r="O100" s="548"/>
      <c r="P100" s="548"/>
      <c r="Q100" s="548"/>
    </row>
    <row r="101" spans="11:36" x14ac:dyDescent="0.25">
      <c r="K101" s="446"/>
      <c r="N101" s="547"/>
      <c r="O101" s="548"/>
      <c r="P101" s="548"/>
      <c r="Q101" s="548"/>
    </row>
    <row r="102" spans="11:36" x14ac:dyDescent="0.25">
      <c r="K102" s="446"/>
      <c r="N102" s="547"/>
      <c r="O102" s="548"/>
      <c r="P102" s="548"/>
      <c r="Q102" s="548"/>
    </row>
    <row r="103" spans="11:36" x14ac:dyDescent="0.25">
      <c r="K103" s="446"/>
      <c r="N103" s="547"/>
      <c r="O103" s="548"/>
      <c r="P103" s="548"/>
      <c r="Q103" s="548"/>
    </row>
    <row r="104" spans="11:36" x14ac:dyDescent="0.25">
      <c r="K104" s="446"/>
      <c r="N104" s="547"/>
      <c r="O104" s="548"/>
      <c r="P104" s="548"/>
      <c r="Q104" s="548"/>
    </row>
    <row r="105" spans="11:36" x14ac:dyDescent="0.25">
      <c r="K105" s="446"/>
      <c r="N105" s="547"/>
      <c r="O105" s="548"/>
      <c r="P105" s="548"/>
      <c r="Q105" s="548"/>
    </row>
    <row r="106" spans="11:36" x14ac:dyDescent="0.25">
      <c r="K106" s="446"/>
      <c r="N106" s="547"/>
      <c r="O106" s="548"/>
      <c r="P106" s="548"/>
      <c r="Q106" s="548"/>
    </row>
  </sheetData>
  <mergeCells count="6">
    <mergeCell ref="J88:K88"/>
    <mergeCell ref="A4:B4"/>
    <mergeCell ref="A39:B39"/>
    <mergeCell ref="J73:K73"/>
    <mergeCell ref="J75:K75"/>
    <mergeCell ref="J82:K8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3" topLeftCell="A4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22.85546875" customWidth="1"/>
    <col min="2" max="2" width="11.42578125" customWidth="1"/>
    <col min="3" max="6" width="11.85546875" style="4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58" t="s">
        <v>23</v>
      </c>
      <c r="B4" s="558"/>
      <c r="C4" s="11"/>
      <c r="D4" s="11"/>
      <c r="E4" s="11"/>
      <c r="F4" s="11"/>
      <c r="G4" s="12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t="s">
        <v>3</v>
      </c>
      <c r="G6"/>
    </row>
    <row r="7" spans="1:7" s="4" customFormat="1" x14ac:dyDescent="0.25">
      <c r="A7" t="s">
        <v>4</v>
      </c>
      <c r="B7" t="s">
        <v>5</v>
      </c>
      <c r="G7"/>
    </row>
    <row r="8" spans="1:7" s="4" customFormat="1" x14ac:dyDescent="0.25">
      <c r="A8"/>
      <c r="B8"/>
      <c r="G8"/>
    </row>
    <row r="9" spans="1:7" s="4" customFormat="1" x14ac:dyDescent="0.25">
      <c r="A9" t="s">
        <v>2</v>
      </c>
      <c r="B9" s="2" t="s">
        <v>13</v>
      </c>
      <c r="G9"/>
    </row>
    <row r="10" spans="1:7" s="4" customFormat="1" x14ac:dyDescent="0.25">
      <c r="A10" t="s">
        <v>4</v>
      </c>
      <c r="B10" s="2" t="s">
        <v>13</v>
      </c>
      <c r="G10"/>
    </row>
    <row r="12" spans="1:7" s="4" customFormat="1" x14ac:dyDescent="0.25">
      <c r="A12" s="7" t="s">
        <v>7</v>
      </c>
      <c r="B12"/>
      <c r="G12"/>
    </row>
    <row r="13" spans="1:7" s="4" customFormat="1" x14ac:dyDescent="0.25">
      <c r="A13" s="6" t="s">
        <v>8</v>
      </c>
      <c r="B13" t="s">
        <v>9</v>
      </c>
      <c r="G13"/>
    </row>
    <row r="14" spans="1:7" s="4" customFormat="1" x14ac:dyDescent="0.25">
      <c r="A14" s="3" t="s">
        <v>10</v>
      </c>
      <c r="B14"/>
      <c r="G14"/>
    </row>
    <row r="15" spans="1:7" s="4" customFormat="1" x14ac:dyDescent="0.25">
      <c r="A15" s="3" t="s">
        <v>260</v>
      </c>
      <c r="B15"/>
      <c r="G15"/>
    </row>
    <row r="16" spans="1:7" s="4" customFormat="1" x14ac:dyDescent="0.25">
      <c r="A16" s="3" t="s">
        <v>12</v>
      </c>
      <c r="B16"/>
      <c r="G16"/>
    </row>
    <row r="18" spans="1:7" s="4" customFormat="1" x14ac:dyDescent="0.25">
      <c r="A18" s="6" t="s">
        <v>8</v>
      </c>
      <c r="B18" s="2" t="s">
        <v>13</v>
      </c>
      <c r="G18"/>
    </row>
    <row r="19" spans="1:7" s="4" customFormat="1" x14ac:dyDescent="0.25">
      <c r="A19" s="3" t="s">
        <v>10</v>
      </c>
      <c r="B19"/>
      <c r="G19"/>
    </row>
    <row r="20" spans="1:7" s="4" customFormat="1" x14ac:dyDescent="0.25">
      <c r="A20" s="3" t="s">
        <v>11</v>
      </c>
      <c r="B20"/>
      <c r="G20"/>
    </row>
    <row r="22" spans="1:7" s="4" customFormat="1" x14ac:dyDescent="0.25">
      <c r="A22" s="6" t="s">
        <v>14</v>
      </c>
      <c r="B22" s="2" t="s">
        <v>13</v>
      </c>
      <c r="G22"/>
    </row>
    <row r="24" spans="1:7" s="4" customFormat="1" x14ac:dyDescent="0.25">
      <c r="A24" s="7" t="s">
        <v>15</v>
      </c>
      <c r="B24"/>
      <c r="G24"/>
    </row>
    <row r="25" spans="1:7" s="4" customFormat="1" x14ac:dyDescent="0.25">
      <c r="A25" t="s">
        <v>16</v>
      </c>
      <c r="B25" s="2" t="s">
        <v>13</v>
      </c>
      <c r="G25"/>
    </row>
    <row r="27" spans="1:7" s="4" customFormat="1" x14ac:dyDescent="0.25">
      <c r="A27" s="7" t="s">
        <v>17</v>
      </c>
      <c r="B27" s="2" t="s">
        <v>13</v>
      </c>
      <c r="G27"/>
    </row>
    <row r="29" spans="1:7" s="4" customFormat="1" x14ac:dyDescent="0.25">
      <c r="A29" s="7" t="s">
        <v>18</v>
      </c>
      <c r="B29" s="2" t="s">
        <v>13</v>
      </c>
      <c r="G29"/>
    </row>
    <row r="30" spans="1:7" s="4" customFormat="1" x14ac:dyDescent="0.25">
      <c r="A30" s="7"/>
      <c r="B30" s="2"/>
      <c r="G30"/>
    </row>
    <row r="31" spans="1:7" s="4" customFormat="1" x14ac:dyDescent="0.25">
      <c r="A31" s="7" t="s">
        <v>31</v>
      </c>
      <c r="B31" s="2" t="s">
        <v>13</v>
      </c>
      <c r="G31"/>
    </row>
    <row r="32" spans="1:7" s="4" customFormat="1" x14ac:dyDescent="0.25">
      <c r="A32" s="559" t="s">
        <v>21</v>
      </c>
      <c r="B32" s="559"/>
      <c r="C32" s="281">
        <f>C9+C10+C19+C20+C22+C25+C27+C29+C31</f>
        <v>0</v>
      </c>
      <c r="D32" s="281">
        <f t="shared" ref="D32:G32" si="0">D9+D10+D19+D20+D22+D25+D27+D29+D31</f>
        <v>0</v>
      </c>
      <c r="E32" s="281">
        <f t="shared" si="0"/>
        <v>0</v>
      </c>
      <c r="F32" s="281">
        <f t="shared" si="0"/>
        <v>0</v>
      </c>
      <c r="G32" s="281">
        <f t="shared" si="0"/>
        <v>0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3" topLeftCell="A4" activePane="bottomLeft" state="frozen"/>
      <selection activeCell="A16" sqref="A16"/>
      <selection pane="bottomLeft" activeCell="A16" sqref="A16"/>
    </sheetView>
  </sheetViews>
  <sheetFormatPr baseColWidth="10" defaultRowHeight="15" x14ac:dyDescent="0.25"/>
  <cols>
    <col min="1" max="1" width="22.85546875" customWidth="1"/>
    <col min="2" max="2" width="11.42578125" customWidth="1"/>
    <col min="3" max="6" width="11.85546875" style="4" bestFit="1" customWidth="1"/>
  </cols>
  <sheetData>
    <row r="1" spans="1:7" x14ac:dyDescent="0.25">
      <c r="A1" t="s">
        <v>0</v>
      </c>
    </row>
    <row r="3" spans="1:7" x14ac:dyDescent="0.25">
      <c r="C3" s="5">
        <v>43646</v>
      </c>
      <c r="D3" s="5">
        <v>44012</v>
      </c>
      <c r="E3" s="5">
        <v>44377</v>
      </c>
      <c r="F3" s="5">
        <v>44742</v>
      </c>
      <c r="G3" s="1">
        <v>45107</v>
      </c>
    </row>
    <row r="4" spans="1:7" s="4" customFormat="1" x14ac:dyDescent="0.25">
      <c r="A4" s="558" t="s">
        <v>29</v>
      </c>
      <c r="B4" s="558"/>
      <c r="C4" s="11"/>
      <c r="D4" s="11"/>
      <c r="E4" s="11"/>
      <c r="F4" s="11"/>
      <c r="G4" s="12"/>
    </row>
    <row r="5" spans="1:7" s="4" customFormat="1" x14ac:dyDescent="0.25">
      <c r="A5" s="7" t="s">
        <v>6</v>
      </c>
      <c r="B5"/>
      <c r="G5"/>
    </row>
    <row r="6" spans="1:7" s="4" customFormat="1" x14ac:dyDescent="0.25">
      <c r="A6" t="s">
        <v>2</v>
      </c>
      <c r="B6" t="s">
        <v>3</v>
      </c>
      <c r="G6"/>
    </row>
    <row r="7" spans="1:7" s="4" customFormat="1" x14ac:dyDescent="0.25">
      <c r="A7" t="s">
        <v>4</v>
      </c>
      <c r="B7" t="s">
        <v>5</v>
      </c>
      <c r="G7"/>
    </row>
    <row r="8" spans="1:7" s="4" customFormat="1" x14ac:dyDescent="0.25">
      <c r="A8"/>
      <c r="B8"/>
      <c r="G8"/>
    </row>
    <row r="9" spans="1:7" s="4" customFormat="1" x14ac:dyDescent="0.25">
      <c r="A9" t="s">
        <v>2</v>
      </c>
      <c r="B9" s="2" t="s">
        <v>13</v>
      </c>
      <c r="G9"/>
    </row>
    <row r="10" spans="1:7" s="4" customFormat="1" x14ac:dyDescent="0.25">
      <c r="A10" t="s">
        <v>4</v>
      </c>
      <c r="B10" s="2" t="s">
        <v>13</v>
      </c>
      <c r="G10"/>
    </row>
    <row r="12" spans="1:7" s="4" customFormat="1" x14ac:dyDescent="0.25">
      <c r="A12" s="7" t="s">
        <v>7</v>
      </c>
      <c r="B12"/>
      <c r="G12"/>
    </row>
    <row r="13" spans="1:7" s="4" customFormat="1" x14ac:dyDescent="0.25">
      <c r="A13" s="6" t="s">
        <v>8</v>
      </c>
      <c r="B13" t="s">
        <v>9</v>
      </c>
      <c r="G13"/>
    </row>
    <row r="14" spans="1:7" s="4" customFormat="1" x14ac:dyDescent="0.25">
      <c r="A14" s="3" t="s">
        <v>10</v>
      </c>
      <c r="B14"/>
      <c r="G14"/>
    </row>
    <row r="15" spans="1:7" s="4" customFormat="1" x14ac:dyDescent="0.25">
      <c r="A15" s="3" t="s">
        <v>260</v>
      </c>
      <c r="B15"/>
      <c r="G15"/>
    </row>
    <row r="16" spans="1:7" s="4" customFormat="1" x14ac:dyDescent="0.25">
      <c r="A16" s="3" t="s">
        <v>12</v>
      </c>
      <c r="B16"/>
      <c r="G16"/>
    </row>
    <row r="18" spans="1:7" s="4" customFormat="1" x14ac:dyDescent="0.25">
      <c r="A18" s="6" t="s">
        <v>8</v>
      </c>
      <c r="B18" s="2" t="s">
        <v>13</v>
      </c>
      <c r="G18"/>
    </row>
    <row r="19" spans="1:7" s="4" customFormat="1" x14ac:dyDescent="0.25">
      <c r="A19" s="3" t="s">
        <v>10</v>
      </c>
      <c r="B19"/>
      <c r="G19"/>
    </row>
    <row r="20" spans="1:7" s="4" customFormat="1" x14ac:dyDescent="0.25">
      <c r="A20" s="3" t="s">
        <v>11</v>
      </c>
      <c r="B20"/>
      <c r="G20"/>
    </row>
    <row r="22" spans="1:7" s="4" customFormat="1" x14ac:dyDescent="0.25">
      <c r="A22" s="6" t="s">
        <v>14</v>
      </c>
      <c r="B22" s="2" t="s">
        <v>13</v>
      </c>
      <c r="G22"/>
    </row>
    <row r="24" spans="1:7" s="4" customFormat="1" x14ac:dyDescent="0.25">
      <c r="A24" s="7" t="s">
        <v>15</v>
      </c>
      <c r="B24"/>
      <c r="G24"/>
    </row>
    <row r="25" spans="1:7" s="4" customFormat="1" x14ac:dyDescent="0.25">
      <c r="A25" t="s">
        <v>16</v>
      </c>
      <c r="B25" s="2" t="s">
        <v>13</v>
      </c>
      <c r="G25"/>
    </row>
    <row r="27" spans="1:7" s="4" customFormat="1" x14ac:dyDescent="0.25">
      <c r="A27" s="7" t="s">
        <v>17</v>
      </c>
      <c r="B27" s="2" t="s">
        <v>13</v>
      </c>
      <c r="G27"/>
    </row>
    <row r="29" spans="1:7" s="4" customFormat="1" x14ac:dyDescent="0.25">
      <c r="A29" s="7" t="s">
        <v>18</v>
      </c>
      <c r="B29" s="2" t="s">
        <v>13</v>
      </c>
      <c r="G29"/>
    </row>
    <row r="30" spans="1:7" s="4" customFormat="1" x14ac:dyDescent="0.25">
      <c r="A30" s="7"/>
      <c r="B30"/>
      <c r="G30"/>
    </row>
    <row r="31" spans="1:7" s="4" customFormat="1" x14ac:dyDescent="0.25">
      <c r="A31" s="7" t="s">
        <v>31</v>
      </c>
      <c r="B31" s="2" t="s">
        <v>13</v>
      </c>
      <c r="G31"/>
    </row>
    <row r="32" spans="1:7" s="4" customFormat="1" x14ac:dyDescent="0.25">
      <c r="A32" s="559" t="s">
        <v>21</v>
      </c>
      <c r="B32" s="559"/>
      <c r="C32" s="279">
        <f>C9+C10+C19+C20+C22+C25+C27+C29+C31</f>
        <v>0</v>
      </c>
      <c r="D32" s="279">
        <f t="shared" ref="D32:G32" si="0">D9+D10+D19+D20+D22+D25+D27+D29+D31</f>
        <v>0</v>
      </c>
      <c r="E32" s="279">
        <f t="shared" si="0"/>
        <v>0</v>
      </c>
      <c r="F32" s="279">
        <f t="shared" si="0"/>
        <v>0</v>
      </c>
      <c r="G32" s="279">
        <f t="shared" si="0"/>
        <v>0</v>
      </c>
    </row>
  </sheetData>
  <mergeCells count="2">
    <mergeCell ref="A4:B4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2</vt:i4>
      </vt:variant>
    </vt:vector>
  </HeadingPairs>
  <TitlesOfParts>
    <vt:vector size="19" baseType="lpstr">
      <vt:lpstr>F1</vt:lpstr>
      <vt:lpstr>F4</vt:lpstr>
      <vt:lpstr>Bilan financier</vt:lpstr>
      <vt:lpstr>Ville LORIENT</vt:lpstr>
      <vt:lpstr>LOCMIQUELIC</vt:lpstr>
      <vt:lpstr>LANESTER</vt:lpstr>
      <vt:lpstr>LANVEUR</vt:lpstr>
      <vt:lpstr>BUBRY</vt:lpstr>
      <vt:lpstr>PLOUAY (1)</vt:lpstr>
      <vt:lpstr>PLOUAY (2)</vt:lpstr>
      <vt:lpstr>PLOEMEUR (1)</vt:lpstr>
      <vt:lpstr>PLOEMEUR (2)</vt:lpstr>
      <vt:lpstr>RIEC</vt:lpstr>
      <vt:lpstr>ARZANO</vt:lpstr>
      <vt:lpstr>GLOBAL</vt:lpstr>
      <vt:lpstr>Feuil2</vt:lpstr>
      <vt:lpstr>Feuil3</vt:lpstr>
      <vt:lpstr>'Bilan financier'!Zone_d_impression</vt:lpstr>
      <vt:lpstr>'F4'!Zone_d_impression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LOMENECH</dc:creator>
  <cp:lastModifiedBy>CREPEAUX Pierre</cp:lastModifiedBy>
  <dcterms:created xsi:type="dcterms:W3CDTF">2019-02-11T12:52:17Z</dcterms:created>
  <dcterms:modified xsi:type="dcterms:W3CDTF">2019-02-28T13:06:29Z</dcterms:modified>
</cp:coreProperties>
</file>